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892" activeTab="0"/>
  </bookViews>
  <sheets>
    <sheet name="Analyse Financière Sociétés" sheetId="1" r:id="rId1"/>
  </sheets>
  <definedNames>
    <definedName name="__123Graph_A" hidden="1">'Analyse Financière Sociétés'!#REF!</definedName>
    <definedName name="__123Graph_ASANTE" hidden="1">'Analyse Financière Sociétés'!#REF!</definedName>
    <definedName name="__123Graph_X" hidden="1">'Analyse Financière Sociétés'!#REF!</definedName>
    <definedName name="__123Graph_XSANTE" hidden="1">'Analyse Financière Sociétés'!#REF!</definedName>
    <definedName name="_xlnm.Print_Area" localSheetId="0">'Analyse Financière Sociétés'!$W$6:$CI$48,'Analyse Financière Sociétés'!$CK$6:$DH$50</definedName>
    <definedName name="Zone_impres_MI" localSheetId="0">'Analyse Financière Sociétés'!$B$2:$EF$293</definedName>
  </definedNames>
  <calcPr fullCalcOnLoad="1"/>
</workbook>
</file>

<file path=xl/sharedStrings.xml><?xml version="1.0" encoding="utf-8"?>
<sst xmlns="http://schemas.openxmlformats.org/spreadsheetml/2006/main" count="7552" uniqueCount="2410">
  <si>
    <t>=</t>
  </si>
  <si>
    <t>|</t>
  </si>
  <si>
    <t xml:space="preserve">        |</t>
  </si>
  <si>
    <t>-</t>
  </si>
  <si>
    <t>F A I L L I T E</t>
  </si>
  <si>
    <t>A. RENTABILITE CHRONIQUE</t>
  </si>
  <si>
    <t>libellés</t>
  </si>
  <si>
    <t>10/49</t>
  </si>
  <si>
    <t>B. DIFFICULTES DE PAIEMENT</t>
  </si>
  <si>
    <t>22/27</t>
  </si>
  <si>
    <t>28</t>
  </si>
  <si>
    <t>C. LIQUIDITE IMMEDIATE</t>
  </si>
  <si>
    <t>29</t>
  </si>
  <si>
    <t>54/58</t>
  </si>
  <si>
    <t>BILANS</t>
  </si>
  <si>
    <t>codes</t>
  </si>
  <si>
    <t>D.VALEURS PRODUITES</t>
  </si>
  <si>
    <t>ZONE</t>
  </si>
  <si>
    <t xml:space="preserve"> 2,59</t>
  </si>
  <si>
    <t xml:space="preserve"> 0 %  &lt;  92 %</t>
  </si>
  <si>
    <t>20</t>
  </si>
  <si>
    <t>60</t>
  </si>
  <si>
    <t>A</t>
  </si>
  <si>
    <t>37</t>
  </si>
  <si>
    <t>21</t>
  </si>
  <si>
    <t xml:space="preserve"> 1,73</t>
  </si>
  <si>
    <t>40</t>
  </si>
  <si>
    <t>DIFFICULTES A VENIR</t>
  </si>
  <si>
    <t>SITUATION SAINE</t>
  </si>
  <si>
    <t>RISQUES</t>
  </si>
  <si>
    <t>41</t>
  </si>
  <si>
    <t>L</t>
  </si>
  <si>
    <t xml:space="preserve"> 0,86</t>
  </si>
  <si>
    <t xml:space="preserve"> 5 %  &lt;  52 %</t>
  </si>
  <si>
    <t>50/53</t>
  </si>
  <si>
    <t>E. CREDIT DE CAISSE</t>
  </si>
  <si>
    <t>DE</t>
  </si>
  <si>
    <t>I</t>
  </si>
  <si>
    <t xml:space="preserve"> 0,75</t>
  </si>
  <si>
    <t>490/1</t>
  </si>
  <si>
    <t>430/8</t>
  </si>
  <si>
    <t>FAILLITE</t>
  </si>
  <si>
    <t>Q</t>
  </si>
  <si>
    <t xml:space="preserve"> 0,63</t>
  </si>
  <si>
    <t>10 %  &lt;  44 %</t>
  </si>
  <si>
    <t>10/15</t>
  </si>
  <si>
    <t>3</t>
  </si>
  <si>
    <t>MODERES</t>
  </si>
  <si>
    <t>Subsides en capital</t>
  </si>
  <si>
    <t>U</t>
  </si>
  <si>
    <t>*******</t>
  </si>
  <si>
    <t xml:space="preserve"> 0,49</t>
  </si>
  <si>
    <t>*</t>
  </si>
  <si>
    <t>13</t>
  </si>
  <si>
    <t>14</t>
  </si>
  <si>
    <t>50/58</t>
  </si>
  <si>
    <t>F. SCORE DE FAILLITE GLOBAL</t>
  </si>
  <si>
    <t>(seuil)-&gt;</t>
  </si>
  <si>
    <t xml:space="preserve"> 0,34</t>
  </si>
  <si>
    <t>17 %  &lt;  32 %</t>
  </si>
  <si>
    <t>D</t>
  </si>
  <si>
    <t xml:space="preserve"> 0,26</t>
  </si>
  <si>
    <t>16</t>
  </si>
  <si>
    <t>20/58</t>
  </si>
  <si>
    <t>17</t>
  </si>
  <si>
    <t xml:space="preserve"> 0,18</t>
  </si>
  <si>
    <t>26 %  =  26 %</t>
  </si>
  <si>
    <t>42/48</t>
  </si>
  <si>
    <t>T</t>
  </si>
  <si>
    <t xml:space="preserve"> 0,09</t>
  </si>
  <si>
    <t>42</t>
  </si>
  <si>
    <t>VIGILANCE</t>
  </si>
  <si>
    <t>43</t>
  </si>
  <si>
    <t>E</t>
  </si>
  <si>
    <t xml:space="preserve"> 0,00</t>
  </si>
  <si>
    <t>31 %  &gt;  20 %</t>
  </si>
  <si>
    <t>44</t>
  </si>
  <si>
    <t>SITUATION GRAVE</t>
  </si>
  <si>
    <t>DIFFICULTES PASSAGERES</t>
  </si>
  <si>
    <t>492/3</t>
  </si>
  <si>
    <t>-0,23</t>
  </si>
  <si>
    <t>Créances commerciales</t>
  </si>
  <si>
    <t>Dettes commerciales</t>
  </si>
  <si>
    <t>-20</t>
  </si>
  <si>
    <t>-10</t>
  </si>
  <si>
    <t xml:space="preserve"> 0</t>
  </si>
  <si>
    <t>-0,45</t>
  </si>
  <si>
    <t>46 %  &gt;  10 %</t>
  </si>
  <si>
    <t>70/74</t>
  </si>
  <si>
    <t>42/43</t>
  </si>
  <si>
    <t xml:space="preserve"> R   E   N   T   A   B   I   L   I   T   E</t>
  </si>
  <si>
    <t>-0,73</t>
  </si>
  <si>
    <t>70</t>
  </si>
  <si>
    <t>45/48</t>
  </si>
  <si>
    <t>-1,00</t>
  </si>
  <si>
    <t>62 %  &gt;   5 %</t>
  </si>
  <si>
    <t>-2,31</t>
  </si>
  <si>
    <t>600/8</t>
  </si>
  <si>
    <t>%</t>
  </si>
  <si>
    <t>61</t>
  </si>
  <si>
    <t>x</t>
  </si>
  <si>
    <t>-3,62</t>
  </si>
  <si>
    <t>94 %  &gt;   0 %</t>
  </si>
  <si>
    <t>62</t>
  </si>
  <si>
    <t>EXCESSIFS</t>
  </si>
  <si>
    <t>630</t>
  </si>
  <si>
    <t>631/4</t>
  </si>
  <si>
    <t xml:space="preserve"> A  Chif. aff.</t>
  </si>
  <si>
    <t>640/8</t>
  </si>
  <si>
    <t xml:space="preserve"> B/D Aut. prod</t>
  </si>
  <si>
    <t>71/72/74</t>
  </si>
  <si>
    <t>649</t>
  </si>
  <si>
    <t>60/64</t>
  </si>
  <si>
    <t>75</t>
  </si>
  <si>
    <t xml:space="preserve"> A   Approvis.</t>
  </si>
  <si>
    <t>65</t>
  </si>
  <si>
    <t xml:space="preserve">  1.    Achats</t>
  </si>
  <si>
    <t>19. INDEPENDANCE FINANCIERE  (%)</t>
  </si>
  <si>
    <t>650</t>
  </si>
  <si>
    <t xml:space="preserve">  2. Var stocks</t>
  </si>
  <si>
    <t>609</t>
  </si>
  <si>
    <t xml:space="preserve"> B  S&amp;B divers</t>
  </si>
  <si>
    <t xml:space="preserve"> C    Rémunér.</t>
  </si>
  <si>
    <t xml:space="preserve"> D/F  Amortis.</t>
  </si>
  <si>
    <t xml:space="preserve"> G/H Aut. char</t>
  </si>
  <si>
    <t>640/9</t>
  </si>
  <si>
    <t>67/77</t>
  </si>
  <si>
    <t>9904</t>
  </si>
  <si>
    <t>MODELE GLOBAL D'ANALYSE DISCRIMINANTE</t>
  </si>
  <si>
    <t>Ratios caractéristiques</t>
  </si>
  <si>
    <t>Formules</t>
  </si>
  <si>
    <t>A =</t>
  </si>
  <si>
    <t>[Résultat reporté + Réserves] / [Passif total]</t>
  </si>
  <si>
    <t>* 100</t>
  </si>
  <si>
    <t>+ 4,3178</t>
  </si>
  <si>
    <t>(13 + 14) : (10/49)</t>
  </si>
  <si>
    <t xml:space="preserve"> (%)</t>
  </si>
  <si>
    <t>B =</t>
  </si>
  <si>
    <t>[Dettes échues Fisc &amp; Onss] / [Fonds Tiers CT]</t>
  </si>
  <si>
    <t>-11,6782</t>
  </si>
  <si>
    <t>(9072 + 9076) : (17/49 - 17)</t>
  </si>
  <si>
    <t xml:space="preserve">C = </t>
  </si>
  <si>
    <t>[Val. disponibles] / [Actifs circ. restreints]</t>
  </si>
  <si>
    <t>+ 3,1676</t>
  </si>
  <si>
    <t>(54/58) : (29/58 - 29)</t>
  </si>
  <si>
    <t>D =</t>
  </si>
  <si>
    <t>[Stocks biens produits] / [Actifs circ. expl.]</t>
  </si>
  <si>
    <t>- 1,6200</t>
  </si>
  <si>
    <t>(32 +33 +37) : (3 + 40/41 + 490/1)</t>
  </si>
  <si>
    <t>E =</t>
  </si>
  <si>
    <t>[Dettes financières &lt; 1 an] / [Fonds Tiers CT]</t>
  </si>
  <si>
    <t>- 0,8353</t>
  </si>
  <si>
    <t>(430/8) : (17/49 - 17)</t>
  </si>
  <si>
    <t>Terme constant</t>
  </si>
  <si>
    <t>+ 23,24</t>
  </si>
  <si>
    <t>Score de faillite global  = (A x 4,3178 - B x 11,6782 + C x 3,1676 - D x 1,62 - E x 0,8353 + 23,24 ) : 100</t>
  </si>
  <si>
    <t>740</t>
  </si>
  <si>
    <t>9087</t>
  </si>
  <si>
    <t>GRILLE DE LECTURE</t>
  </si>
  <si>
    <t>635</t>
  </si>
  <si>
    <t>9125</t>
  </si>
  <si>
    <t>Risque de se tromper</t>
  </si>
  <si>
    <t>9126</t>
  </si>
  <si>
    <t>en prédisant la</t>
  </si>
  <si>
    <t>en pronostiquant un</t>
  </si>
  <si>
    <t>653</t>
  </si>
  <si>
    <t>continuité de l'ACTIVITE</t>
  </si>
  <si>
    <t>comportement de FAILLITE</t>
  </si>
  <si>
    <t>ANNEXE</t>
  </si>
  <si>
    <t>Valeurs critiques</t>
  </si>
  <si>
    <t>Erreur de crédit (type I)</t>
  </si>
  <si>
    <t>Erreur commerciale (type II)</t>
  </si>
  <si>
    <t>Erreur moyenne</t>
  </si>
  <si>
    <t xml:space="preserve"> 2,5854</t>
  </si>
  <si>
    <t xml:space="preserve"> 0,0 %</t>
  </si>
  <si>
    <t>91,6 %</t>
  </si>
  <si>
    <t>45,8 %</t>
  </si>
  <si>
    <t xml:space="preserve"> 0,8646</t>
  </si>
  <si>
    <t xml:space="preserve"> 5,1 %</t>
  </si>
  <si>
    <t>52,1 %</t>
  </si>
  <si>
    <t>28,6 %</t>
  </si>
  <si>
    <t xml:space="preserve"> 0,6326</t>
  </si>
  <si>
    <t>10,0 %</t>
  </si>
  <si>
    <t>43,5 %</t>
  </si>
  <si>
    <t>26,8 %</t>
  </si>
  <si>
    <t>*  0,3378  *</t>
  </si>
  <si>
    <t>17,2 %</t>
  </si>
  <si>
    <t>31,6 %</t>
  </si>
  <si>
    <t>minimum -&gt;</t>
  </si>
  <si>
    <t>24,4 %</t>
  </si>
  <si>
    <t xml:space="preserve"> 0,1760</t>
  </si>
  <si>
    <t>25,9 %</t>
  </si>
  <si>
    <t>26,0 %</t>
  </si>
  <si>
    <t xml:space="preserve"> 0,0000</t>
  </si>
  <si>
    <t>30,8 %</t>
  </si>
  <si>
    <t>19,5 %</t>
  </si>
  <si>
    <t>25,2 %</t>
  </si>
  <si>
    <t>-0,4512</t>
  </si>
  <si>
    <t>45,6 %</t>
  </si>
  <si>
    <t xml:space="preserve"> 9,9 %</t>
  </si>
  <si>
    <t>27,8 %</t>
  </si>
  <si>
    <t>-1,0013</t>
  </si>
  <si>
    <t>62,3 %</t>
  </si>
  <si>
    <t>33,7 %</t>
  </si>
  <si>
    <t>Effectif moyen</t>
  </si>
  <si>
    <t>-3,6199</t>
  </si>
  <si>
    <t>93,6 %</t>
  </si>
  <si>
    <t>46,8 %</t>
  </si>
  <si>
    <t>Dettes échues ONSS</t>
  </si>
  <si>
    <t>9076</t>
  </si>
  <si>
    <t>Provisions pr pension</t>
  </si>
  <si>
    <t>Dettes fiscales échues</t>
  </si>
  <si>
    <t>9072</t>
  </si>
  <si>
    <t>Subsides d'exploitat.</t>
  </si>
  <si>
    <t>TOTAL DE L'ACTIF calculé</t>
  </si>
  <si>
    <t>Subsides en intérêts</t>
  </si>
  <si>
    <t>TOTAL DU PASSIF calculé</t>
  </si>
  <si>
    <t>TOTAL DU BILAN saisi</t>
  </si>
  <si>
    <t>C</t>
  </si>
  <si>
    <t>RESULTAT EXERCICE calculé</t>
  </si>
  <si>
    <t>RESULTAT EXERCICE saisi</t>
  </si>
  <si>
    <t>Placements trésorerie</t>
  </si>
  <si>
    <t>N</t>
  </si>
  <si>
    <t>Valeurs disponibles</t>
  </si>
  <si>
    <t>Dettes fin. à CT</t>
  </si>
  <si>
    <t>Charges des dettes</t>
  </si>
  <si>
    <t>Autres charges fin.</t>
  </si>
  <si>
    <t>651/9</t>
  </si>
  <si>
    <t>ECARTS Bilans</t>
  </si>
  <si>
    <t>Escompte à charge</t>
  </si>
  <si>
    <t>ECARTS C/Résultats</t>
  </si>
  <si>
    <t/>
  </si>
  <si>
    <t>N° RATIO</t>
  </si>
  <si>
    <t>8. NIVEAU DES CHARGES FIN.   (%)</t>
  </si>
  <si>
    <t>Moyenne</t>
  </si>
  <si>
    <t>Taux de valeur ajoutée (%)</t>
  </si>
  <si>
    <t>Frais de personnel / Valeur ajoutée (%)</t>
  </si>
  <si>
    <t>Charges des dettes / Valeur ajoutée (%)</t>
  </si>
  <si>
    <t>Cash-flow / Capitaux propres (%)</t>
  </si>
  <si>
    <t>Rentabilité nette de l'actif total avant impôts et charges des dettes (%)</t>
  </si>
  <si>
    <t>Liquidité au sens large</t>
  </si>
  <si>
    <t>Capitaux propres / Total du passif (%)</t>
  </si>
  <si>
    <t>Nbre Soc</t>
  </si>
  <si>
    <t>En-cours de fabrication</t>
  </si>
  <si>
    <t>Produits finis</t>
  </si>
  <si>
    <t>Autres créances</t>
  </si>
  <si>
    <t>RESERVES</t>
  </si>
  <si>
    <t>Dettes échéant dans l'année</t>
  </si>
  <si>
    <t>TOTAL DU BILAN</t>
  </si>
  <si>
    <t>VENTES ET PRESTATIONS</t>
  </si>
  <si>
    <t>Chiffre d'affaires</t>
  </si>
  <si>
    <t>Achats</t>
  </si>
  <si>
    <t>Rémunérations</t>
  </si>
  <si>
    <t>Amortissements</t>
  </si>
  <si>
    <t>Autres charges d'exploitation</t>
  </si>
  <si>
    <t>Subsides d'exploitation</t>
  </si>
  <si>
    <t>Approvisionnements &amp; marchandises</t>
  </si>
  <si>
    <t>A P E R C U   D E   L ' E T A T   D E   S A N T E   D E   L' E N T R E P R I S E</t>
  </si>
  <si>
    <t>----</t>
  </si>
  <si>
    <t>Graphique de Santé</t>
  </si>
  <si>
    <t>RENTABILITE</t>
  </si>
  <si>
    <t>LIQUIDITE</t>
  </si>
  <si>
    <t>Type de schéma</t>
  </si>
  <si>
    <t>Code NACE</t>
  </si>
  <si>
    <t xml:space="preserve"> (Err.I)    (Err.II)</t>
  </si>
  <si>
    <t>Coeff.</t>
  </si>
  <si>
    <t>Dettes Etabl. Crédit</t>
  </si>
  <si>
    <t>2,0 ---</t>
  </si>
  <si>
    <t>1,8 ---</t>
  </si>
  <si>
    <t>1,6 ---</t>
  </si>
  <si>
    <t>1,4 ---</t>
  </si>
  <si>
    <t>1,2 ---</t>
  </si>
  <si>
    <t>1,0 ---</t>
  </si>
  <si>
    <t>0,8 ---</t>
  </si>
  <si>
    <t>0,6 ---</t>
  </si>
  <si>
    <t>0,4 ---</t>
  </si>
  <si>
    <t>0,2 ---</t>
  </si>
  <si>
    <t>0,0 ---</t>
  </si>
  <si>
    <t>RENTABILITE (POSITION HORIZONTALE)</t>
  </si>
  <si>
    <t>LIQUIDITE (POSITION VERTICALE)</t>
  </si>
  <si>
    <t xml:space="preserve">  |</t>
  </si>
  <si>
    <t>-15</t>
  </si>
  <si>
    <t>-5</t>
  </si>
  <si>
    <t>+5</t>
  </si>
  <si>
    <t>+10</t>
  </si>
  <si>
    <t>+15</t>
  </si>
  <si>
    <t>+20</t>
  </si>
  <si>
    <t>N-2</t>
  </si>
  <si>
    <t>N-1</t>
  </si>
  <si>
    <t>S</t>
  </si>
  <si>
    <t>SECTEUR</t>
  </si>
  <si>
    <t>ANNEE N-1</t>
  </si>
  <si>
    <t>ANNEE N-2</t>
  </si>
  <si>
    <t>ANNEE N</t>
  </si>
  <si>
    <t>2,16</t>
  </si>
  <si>
    <t>1,30</t>
  </si>
  <si>
    <t>2,81</t>
  </si>
  <si>
    <t>0,69</t>
  </si>
  <si>
    <t>0,56</t>
  </si>
  <si>
    <t>0,30</t>
  </si>
  <si>
    <t>0,22</t>
  </si>
  <si>
    <t>0,14</t>
  </si>
  <si>
    <t>0,05</t>
  </si>
  <si>
    <t>-0,12</t>
  </si>
  <si>
    <t>-0,34</t>
  </si>
  <si>
    <t>-0,59</t>
  </si>
  <si>
    <t>-0,87</t>
  </si>
  <si>
    <t>-1,66</t>
  </si>
  <si>
    <t>-2,97</t>
  </si>
  <si>
    <t>-3,95</t>
  </si>
  <si>
    <t>0,81</t>
  </si>
  <si>
    <t>0,42</t>
  </si>
  <si>
    <t>Risque d'erreur en cas de classement en :</t>
  </si>
  <si>
    <t xml:space="preserve">  NBRE</t>
  </si>
  <si>
    <t>MOY.</t>
  </si>
  <si>
    <t xml:space="preserve">Code de regroupement : </t>
  </si>
  <si>
    <t>N°</t>
  </si>
  <si>
    <t xml:space="preserve">NORMES SECTORIELLES PAR DEFAUT </t>
  </si>
  <si>
    <t>Nbre</t>
  </si>
  <si>
    <t xml:space="preserve"> Moyenne</t>
  </si>
  <si>
    <t>clôture</t>
  </si>
  <si>
    <t>durée</t>
  </si>
  <si>
    <t>ANNEES ETUDIEES :</t>
  </si>
  <si>
    <t xml:space="preserve">PU450                                           </t>
  </si>
  <si>
    <t xml:space="preserve">Libellé du regroupement : </t>
  </si>
  <si>
    <t>Secteur :</t>
  </si>
  <si>
    <t>Code de regroupement :</t>
  </si>
  <si>
    <t>Code regroupement :</t>
  </si>
  <si>
    <t>(1=Complet)</t>
  </si>
  <si>
    <t>(1= bâtim.)</t>
  </si>
  <si>
    <t>(0=autres)</t>
  </si>
  <si>
    <t>(2=Abrégé)</t>
  </si>
  <si>
    <t>9901</t>
  </si>
  <si>
    <t>9902</t>
  </si>
  <si>
    <t>9903</t>
  </si>
  <si>
    <t>COMPTES DE RESULTATS</t>
  </si>
  <si>
    <r>
      <t>Valeur ajoutée par personne occupée (</t>
    </r>
    <r>
      <rPr>
        <b/>
        <u val="single"/>
        <sz val="12"/>
        <rFont val="Courier New"/>
        <family val="3"/>
      </rPr>
      <t>en EUR</t>
    </r>
    <r>
      <rPr>
        <sz val="12"/>
        <rFont val="Courier New"/>
        <family val="3"/>
      </rPr>
      <t>)</t>
    </r>
  </si>
  <si>
    <t>9134</t>
  </si>
  <si>
    <t>Impôts de l'exercice</t>
  </si>
  <si>
    <t>Impôts sur le résultat de l'exercice</t>
  </si>
  <si>
    <t>MARGE BRUTE</t>
  </si>
  <si>
    <t>70/74-60-61</t>
  </si>
  <si>
    <t xml:space="preserve">Type de schéma à utiliser : </t>
  </si>
  <si>
    <t>EXERCICE CONCERNE :</t>
  </si>
  <si>
    <t>LISTE DES RATIOS FINANCIERS</t>
  </si>
  <si>
    <t>NORMES SECTORIELLES PAR DEFAUT</t>
  </si>
  <si>
    <r>
      <t xml:space="preserve">STATISTIQUES SECTORIELLES DE LA BNB </t>
    </r>
    <r>
      <rPr>
        <i/>
        <sz val="12"/>
        <rFont val="Courier 10 Pitch"/>
        <family val="0"/>
      </rPr>
      <t>(voir plus bas - normes sectorielles par défaut - pour un exemple d'encodage)</t>
    </r>
  </si>
  <si>
    <t xml:space="preserve">Type de schéma pré-encodé : </t>
  </si>
  <si>
    <t>Complet</t>
  </si>
  <si>
    <t>Abrégé</t>
  </si>
  <si>
    <t>Ensemble de tous les secteurs d'activité</t>
  </si>
  <si>
    <r>
      <t xml:space="preserve">Date de clôture </t>
    </r>
    <r>
      <rPr>
        <i/>
        <u val="single"/>
        <sz val="12"/>
        <rFont val="Courier 10 Pitch"/>
        <family val="0"/>
      </rPr>
      <t>(jj/mm/aa)</t>
    </r>
  </si>
  <si>
    <r>
      <t xml:space="preserve">EXERCICES </t>
    </r>
    <r>
      <rPr>
        <i/>
        <u val="single"/>
        <sz val="12"/>
        <rFont val="Courier 10 Pitch"/>
        <family val="0"/>
      </rPr>
      <t>(20xx)</t>
    </r>
    <r>
      <rPr>
        <b/>
        <sz val="12"/>
        <rFont val="Courier 10 Pitch"/>
        <family val="0"/>
      </rPr>
      <t xml:space="preserve"> CONCERNES </t>
    </r>
    <r>
      <rPr>
        <i/>
        <u val="single"/>
        <sz val="12"/>
        <rFont val="Courier 10 Pitch"/>
        <family val="0"/>
      </rPr>
      <t>(du plus ancien au plus récent)</t>
    </r>
  </si>
  <si>
    <t>CSC - Service Entreprise Provincial - Hainaut</t>
  </si>
  <si>
    <t>170/4</t>
  </si>
  <si>
    <t>Dettes échéant à CT</t>
  </si>
  <si>
    <t>8801</t>
  </si>
  <si>
    <t>Dettes financières à LT</t>
  </si>
  <si>
    <t>Dettes financières à CT</t>
  </si>
  <si>
    <t>______________</t>
  </si>
  <si>
    <t>___________________</t>
  </si>
  <si>
    <r>
      <t>&gt;&gt;&gt;    Zone  d'encodage    (</t>
    </r>
    <r>
      <rPr>
        <b/>
        <i/>
        <u val="single"/>
        <sz val="12"/>
        <rFont val="Courier 10 Pitch"/>
        <family val="0"/>
      </rPr>
      <t>en Eur</t>
    </r>
    <r>
      <rPr>
        <sz val="12"/>
        <rFont val="Courier 10 Pitch"/>
        <family val="0"/>
      </rPr>
      <t>)    &lt;&lt;&lt;</t>
    </r>
  </si>
  <si>
    <r>
      <t>&gt;&gt;&gt;   Zone protégée (</t>
    </r>
    <r>
      <rPr>
        <b/>
        <u val="single"/>
        <sz val="12"/>
        <rFont val="Courier 10 Pitch"/>
        <family val="0"/>
      </rPr>
      <t>en kEur</t>
    </r>
    <r>
      <rPr>
        <sz val="12"/>
        <rFont val="Courier 10 Pitch"/>
        <family val="0"/>
      </rPr>
      <t>)   &lt;&lt;&lt;</t>
    </r>
  </si>
  <si>
    <t>Dettes fin. échéant LT</t>
  </si>
  <si>
    <t>..... N O R M E S ......</t>
  </si>
  <si>
    <t>Stocks globaux</t>
  </si>
  <si>
    <t>Stocks matières</t>
  </si>
  <si>
    <t>30/36</t>
  </si>
  <si>
    <t>Stocks produits</t>
  </si>
  <si>
    <t>32+33+37</t>
  </si>
  <si>
    <t>11/12+15+19</t>
  </si>
  <si>
    <t>30/31+34/36</t>
  </si>
  <si>
    <t>32</t>
  </si>
  <si>
    <t>33</t>
  </si>
  <si>
    <t>IMMOB FIN</t>
  </si>
  <si>
    <t>CREANCES +1an</t>
  </si>
  <si>
    <t>CR.com.-1an</t>
  </si>
  <si>
    <t>CR aut.-1an</t>
  </si>
  <si>
    <t>PLAC. &amp; DISP.</t>
  </si>
  <si>
    <t>C/REGUL.</t>
  </si>
  <si>
    <t>RES. REPORTE</t>
  </si>
  <si>
    <t>AUTRES FP</t>
  </si>
  <si>
    <t>PROVIS. R&amp;C</t>
  </si>
  <si>
    <t>DETTES +1an</t>
  </si>
  <si>
    <t>Dettes aut-1an</t>
  </si>
  <si>
    <t>Dettes fin-1an</t>
  </si>
  <si>
    <t>Dettes  com-1an</t>
  </si>
  <si>
    <t>76A</t>
  </si>
  <si>
    <t>66A</t>
  </si>
  <si>
    <t>780</t>
  </si>
  <si>
    <t>680</t>
  </si>
  <si>
    <t>76B</t>
  </si>
  <si>
    <t>66B</t>
  </si>
  <si>
    <t>RES. EXPLOIT</t>
  </si>
  <si>
    <t>RES CRT AV I</t>
  </si>
  <si>
    <t>76A+76B+780</t>
  </si>
  <si>
    <t>66A+66B+680</t>
  </si>
  <si>
    <t>RES. AV IMP.</t>
  </si>
  <si>
    <t>RES. EXERC.</t>
  </si>
  <si>
    <t>20/21</t>
  </si>
  <si>
    <t>IMMOB INCORP &amp; FRAIS ETABL.</t>
  </si>
  <si>
    <t>IMMOB CORP</t>
  </si>
  <si>
    <t>STOCKS &amp;COMM. EN COURS</t>
  </si>
  <si>
    <t>ACTIF TOTAL</t>
  </si>
  <si>
    <t>PASSIF TOTAL</t>
  </si>
  <si>
    <t xml:space="preserve"> VENTES</t>
  </si>
  <si>
    <t>COUT VENTES</t>
  </si>
  <si>
    <t>Prod. fin. Récurrents</t>
  </si>
  <si>
    <t>Char. fin. Récurrentes</t>
  </si>
  <si>
    <t>Impôts</t>
  </si>
  <si>
    <t>Char. exc. (exploit + fin non récurrentes)</t>
  </si>
  <si>
    <t>Prod. exc. (exploit + fin non récurrents)</t>
  </si>
  <si>
    <t>RATIOS CALCULES</t>
  </si>
  <si>
    <t>NORMES SECTORIELLES ENCODEES</t>
  </si>
  <si>
    <t>BILANS SIMPLIFIES</t>
  </si>
  <si>
    <t>ACTIFS FIXES</t>
  </si>
  <si>
    <t>Actifs Immobilisés &amp; Frais d'établissement</t>
  </si>
  <si>
    <t>Créances à Long Terme</t>
  </si>
  <si>
    <t>ACTIFS CIRCULANTS</t>
  </si>
  <si>
    <t>Avoirs d'exploitation (Stocks &amp; Créances à CT)</t>
  </si>
  <si>
    <t>Avoirs de trésorerie</t>
  </si>
  <si>
    <t>CAPITAUX PERMANENTS</t>
  </si>
  <si>
    <t>Dettes à Long Terme &amp; Provisions</t>
  </si>
  <si>
    <t>CAPITAUX TEMPORAIRES</t>
  </si>
  <si>
    <t>Dettes de trésorerie</t>
  </si>
  <si>
    <t>TOTAL DE L'ACTIF</t>
  </si>
  <si>
    <t>TOTAL DU PASSIF</t>
  </si>
  <si>
    <t>Dettes d'exploitation (Dettes non financières à CT)</t>
  </si>
  <si>
    <t xml:space="preserve">   VENTES</t>
  </si>
  <si>
    <t xml:space="preserve">   VALEUR AJOUTEE</t>
  </si>
  <si>
    <t>-  Rémunérations</t>
  </si>
  <si>
    <t>-  Amortissements</t>
  </si>
  <si>
    <t>-  Charges des dettes</t>
  </si>
  <si>
    <t xml:space="preserve">   RESULTAT DE L'EXERCICE</t>
  </si>
  <si>
    <t>+ Résultat Financier</t>
  </si>
  <si>
    <t>+ Résultat Exceptionnel</t>
  </si>
  <si>
    <t>-   Impôts</t>
  </si>
  <si>
    <t>-  Approvisionnements</t>
  </si>
  <si>
    <t>-  Services &amp; biens divers</t>
  </si>
  <si>
    <t>-  Autres charges d'exploitation</t>
  </si>
  <si>
    <t>Secteur</t>
  </si>
  <si>
    <t>PREVISIONS DE DEFAILLANCE</t>
  </si>
  <si>
    <t>pondération</t>
  </si>
  <si>
    <t>SCORE</t>
  </si>
  <si>
    <t>Rentabilité commerciale nette (%)</t>
  </si>
  <si>
    <t>Charges non décaissées / Valeur ajoutée (%)</t>
  </si>
  <si>
    <t>7. NIVEAU AMORTISSEMENTS (%)</t>
  </si>
  <si>
    <t>Autres produits d'exploitation</t>
  </si>
  <si>
    <t>74</t>
  </si>
  <si>
    <t>Secteur NACE &amp; année Normes</t>
  </si>
  <si>
    <t>SANTE FINANCIERE</t>
  </si>
  <si>
    <t>EBITDA (Résultat Global Brut)</t>
  </si>
  <si>
    <t xml:space="preserve">   RESULTAT OPERATIONNEL</t>
  </si>
  <si>
    <t>Constante (k)</t>
  </si>
  <si>
    <t>2. RENT. COMMERCIALE NETTE (%)</t>
  </si>
  <si>
    <t>10.RENT. FINANCIERE BRUTE  (%)</t>
  </si>
  <si>
    <t>12.RENT. ECONOMIQUE NETTE  (%)</t>
  </si>
  <si>
    <t>4.  PRODUCTIVITE DU PERS. (kEur)</t>
  </si>
  <si>
    <t>6.  NIVEAU FRAIS PERSONNEL  (%)</t>
  </si>
  <si>
    <t>8.  NIVEAU CHARGES FIN.   (%)</t>
  </si>
  <si>
    <t>10. RENT. FINANCIERE BRUTE  (%)</t>
  </si>
  <si>
    <t>12. RENT. ECONOMIQUE NETTE  (%)</t>
  </si>
  <si>
    <t>13. LIQUIDITE GENERALE  (indice)</t>
  </si>
  <si>
    <t>19. INDEPENDANCE FINANCIERE (%)</t>
  </si>
  <si>
    <t>13. LIQUIDITE GENERALE (indice)</t>
  </si>
  <si>
    <t>4. PRODUCTIVITE DU PERS.  (kEur)</t>
  </si>
  <si>
    <t>6. NIVEAU FRAIS PERSONNEL (%)</t>
  </si>
  <si>
    <t>3. TAUX DE VALEUR AJOUTEE  (%)</t>
  </si>
  <si>
    <t>3.  TAUX DE VALEUR AJOUTEE (%)</t>
  </si>
  <si>
    <t>Bénéfice à distribuer</t>
  </si>
  <si>
    <t>Taux de distribution des bénéfices</t>
  </si>
  <si>
    <t>AFFECTATION DU RESULTAT</t>
  </si>
  <si>
    <t>EQUILIBRES FINANCIERS</t>
  </si>
  <si>
    <t>DONNEES SOCIALES</t>
  </si>
  <si>
    <t>INDICATEURS DE VIGILANCE</t>
  </si>
  <si>
    <t>Résultat courant avant amortissement</t>
  </si>
  <si>
    <t>Résultat courant avant impôt</t>
  </si>
  <si>
    <t>Cash-flow (Cash-drain)</t>
  </si>
  <si>
    <t>ans</t>
  </si>
  <si>
    <t>ETP</t>
  </si>
  <si>
    <t>Rentabilité nette des Capitaux propres (%)</t>
  </si>
  <si>
    <t>694/7</t>
  </si>
  <si>
    <t>9. RENT. FINANCIERE NETTE (%)</t>
  </si>
  <si>
    <t>MARGE D'ENDETTEMENT FINANCIER</t>
  </si>
  <si>
    <t>Dettes sociales &amp; fiscales échues</t>
  </si>
  <si>
    <t>Effectif moyen (personnel ordinaire)</t>
  </si>
  <si>
    <t>635/8</t>
  </si>
  <si>
    <t>Somme des valeurs pondérées + k</t>
  </si>
  <si>
    <t>Secteur d'activité Nace-bel &amp; Taille</t>
  </si>
  <si>
    <r>
      <rPr>
        <u val="single"/>
        <sz val="12"/>
        <rFont val="Courier 10 Pitch"/>
        <family val="0"/>
      </rPr>
      <t>NB</t>
    </r>
    <r>
      <rPr>
        <sz val="12"/>
        <rFont val="Courier 10 Pitch"/>
        <family val="0"/>
      </rPr>
      <t xml:space="preserve"> : 2 exercices pourraient se superposer dans le graphique si les valeurs des ratios de rentabilité et de liquidité sont très proches</t>
    </r>
  </si>
  <si>
    <t>DE158A</t>
  </si>
  <si>
    <t>Boulangeries, pâtisseries, biscotteries et biscuiteries</t>
  </si>
  <si>
    <r>
      <t xml:space="preserve">   RESULTAT GLOBAL </t>
    </r>
    <r>
      <rPr>
        <b/>
        <sz val="12"/>
        <rFont val="Courier 10 Pitch"/>
        <family val="0"/>
      </rPr>
      <t>(EBIT)</t>
    </r>
  </si>
  <si>
    <t>Dettes financières globales (LT + CT)</t>
  </si>
  <si>
    <t>Marge sur niveau des Fonds Propres</t>
  </si>
  <si>
    <t>Rentabilité économique nette *</t>
  </si>
  <si>
    <t>Rendement des capitaux propres*</t>
  </si>
  <si>
    <t>Productivité moyenne*</t>
  </si>
  <si>
    <t>Coût moyen du personnel*</t>
  </si>
  <si>
    <t>Niveau de ventes par travailleur*</t>
  </si>
  <si>
    <t>Marge sur Résultat Global Brut généré*</t>
  </si>
  <si>
    <t>( * valeurs corrigées, pour l'année concernée, en cas d'exercice différent de 12 mois )</t>
  </si>
  <si>
    <t>N-2 [mois]</t>
  </si>
  <si>
    <t>N-1 [mois]</t>
  </si>
  <si>
    <t>N [mois]</t>
  </si>
  <si>
    <t>20 + 21 + 22/27 + 28</t>
  </si>
  <si>
    <t>3 + 40 + 41 + 490/1</t>
  </si>
  <si>
    <t>50/53 + 54/58</t>
  </si>
  <si>
    <t>20 + 21/28 + 29</t>
  </si>
  <si>
    <t>29/58 - 29</t>
  </si>
  <si>
    <t>10 + 11 + 12 + 13 + 14 + 15 - 19</t>
  </si>
  <si>
    <t>16 + 17</t>
  </si>
  <si>
    <t>10/15 + 16 + 17</t>
  </si>
  <si>
    <t>17/49 - 17</t>
  </si>
  <si>
    <t>42 - 8801 + 44 + 45 + 46 +47/48 + 492/3</t>
  </si>
  <si>
    <t>8801 + 43</t>
  </si>
  <si>
    <t>70/76A - 76A - 740</t>
  </si>
  <si>
    <t xml:space="preserve">70 + 71 + 72 + 74 - 740  - 60 - 61 </t>
  </si>
  <si>
    <t>62 + 635</t>
  </si>
  <si>
    <t>9901 - 76A + 66A + 9125</t>
  </si>
  <si>
    <t>76A + 76B + 780 - 66A - 66B - 680 - 67/77 + 9134</t>
  </si>
  <si>
    <t>{3}</t>
  </si>
  <si>
    <t>650 + 653 - 9126</t>
  </si>
  <si>
    <t>9904 + 9134+ 650 + 653 - 9126</t>
  </si>
  <si>
    <t>{2}</t>
  </si>
  <si>
    <t>A. Rentabilité chronique</t>
  </si>
  <si>
    <t>B. Difficultés de paiement</t>
  </si>
  <si>
    <t>C. Liquidité immédiate</t>
  </si>
  <si>
    <t>D. Valeurs produites</t>
  </si>
  <si>
    <t>E. Crédit de caisse</t>
  </si>
  <si>
    <t>{12}</t>
  </si>
  <si>
    <t>{13}</t>
  </si>
  <si>
    <t>Complet / Abrégé / Micro</t>
  </si>
  <si>
    <t>Code Nace &amp; Libellé</t>
  </si>
  <si>
    <t>Code Secteur (PU/DE) &amp; Libellé</t>
  </si>
  <si>
    <t>{9}</t>
  </si>
  <si>
    <t>(10/15 + 16 + 17) - (20 + 21/28 + 29)</t>
  </si>
  <si>
    <t>(29/58 - 29 - 50/53 - 54/58) - (17/49 - 17 - 8801 - 43)</t>
  </si>
  <si>
    <t>{4}</t>
  </si>
  <si>
    <t>(10/15) - (170/4 + 43 + 8801)</t>
  </si>
  <si>
    <t>170/4 + 43 + 8801</t>
  </si>
  <si>
    <t>Beaver</t>
  </si>
  <si>
    <t>9901 - 76A + 66A + 75 - 65</t>
  </si>
  <si>
    <t>9901 - 76A + 66A + 75 - 65 + 630</t>
  </si>
  <si>
    <t>9072 + 9076</t>
  </si>
  <si>
    <t>(8801 + 43) - (50/53 + 54/58)</t>
  </si>
  <si>
    <t xml:space="preserve">Fonds de Roulement (&gt; 0 = excédent de capitaux) </t>
  </si>
  <si>
    <t>Besoin d'Exploitation (&lt; 0 = excédent de capitaux)</t>
  </si>
  <si>
    <t>Besoin de Trésorerie (&lt; 0 = excédent de capitaux)</t>
  </si>
  <si>
    <t>Remboursement dettes Σ par cash-flow*</t>
  </si>
  <si>
    <t>630/8</t>
  </si>
  <si>
    <t>630 + 631/4 + 635/8 - 635 - 9125</t>
  </si>
  <si>
    <t>9904 + 630 + 631/4 + 635/8 - 9125</t>
  </si>
  <si>
    <t>EBIT + (630 + 631/4 + 635/8 - 9125)</t>
  </si>
  <si>
    <t>640/8 + 649 - 740</t>
  </si>
  <si>
    <t>75 - 9125 - 9126 - 651 - 652/9 + 653</t>
  </si>
  <si>
    <t>CODES UTILISES - APPLICATION SOCIETES</t>
  </si>
  <si>
    <t xml:space="preserve">   Chiffre d'Affaires</t>
  </si>
  <si>
    <t>{19}</t>
  </si>
  <si>
    <t>{ n } = n° ratio BNB (médiane sectorielle + année)</t>
  </si>
  <si>
    <t>Sociétés globalisées</t>
  </si>
  <si>
    <t>SOC</t>
  </si>
  <si>
    <t>0111</t>
  </si>
  <si>
    <t>Culture de céréales (à l'exception du riz), de légumineuses et de graines oléagineuses</t>
  </si>
  <si>
    <t>PU210</t>
  </si>
  <si>
    <t>DE01</t>
  </si>
  <si>
    <t>Agriculture, chasse et services annexes</t>
  </si>
  <si>
    <t>01</t>
  </si>
  <si>
    <t>0112</t>
  </si>
  <si>
    <t>Culture du riz</t>
  </si>
  <si>
    <t>0113</t>
  </si>
  <si>
    <t>Culture de légumes, de melons, de racines et de tubercules</t>
  </si>
  <si>
    <t>0114</t>
  </si>
  <si>
    <t>Culture de la canne à sucre</t>
  </si>
  <si>
    <t>0115</t>
  </si>
  <si>
    <t>Culture du tabac</t>
  </si>
  <si>
    <t>0116</t>
  </si>
  <si>
    <t>Culture de plantes à fibres</t>
  </si>
  <si>
    <t>0119</t>
  </si>
  <si>
    <t>Autres cultures non permanentes</t>
  </si>
  <si>
    <t>0121</t>
  </si>
  <si>
    <t>Culture de la vigne</t>
  </si>
  <si>
    <t>0122</t>
  </si>
  <si>
    <t>Culture de fruits tropicaux et subtropicaux</t>
  </si>
  <si>
    <t>0123</t>
  </si>
  <si>
    <t>Culture d'agrumes</t>
  </si>
  <si>
    <t>0124</t>
  </si>
  <si>
    <t>Culture de fruits à pépins et à noyau</t>
  </si>
  <si>
    <t>0125</t>
  </si>
  <si>
    <t>Culture d'autres fruits d'arbres ou d'arbustes et de fruits à coque</t>
  </si>
  <si>
    <t>0126</t>
  </si>
  <si>
    <t>Culture de fruits oléagineux</t>
  </si>
  <si>
    <t>0127</t>
  </si>
  <si>
    <t>Culture de plantes à boissons</t>
  </si>
  <si>
    <t>0128</t>
  </si>
  <si>
    <t>Culture de plantes à épices, aromatiques, médicinales et pharmaceutiques</t>
  </si>
  <si>
    <t>0129</t>
  </si>
  <si>
    <t>Autres cultures permanentes</t>
  </si>
  <si>
    <t>0130</t>
  </si>
  <si>
    <t>Reproduction de plantes</t>
  </si>
  <si>
    <t>0141</t>
  </si>
  <si>
    <t>Élevage de vaches laitières</t>
  </si>
  <si>
    <t>0142</t>
  </si>
  <si>
    <t>Élevage d'autres bovins et de buffles</t>
  </si>
  <si>
    <t>0143</t>
  </si>
  <si>
    <t>Élevage de chevaux et d'autres équidés</t>
  </si>
  <si>
    <t>0144</t>
  </si>
  <si>
    <t>Élevage de chameaux et d'autres camélidés</t>
  </si>
  <si>
    <t>0145</t>
  </si>
  <si>
    <t>Élevage d'ovins et de caprins</t>
  </si>
  <si>
    <t>0146</t>
  </si>
  <si>
    <t>Élevage de porcins</t>
  </si>
  <si>
    <t>0147</t>
  </si>
  <si>
    <t>Élevage de volailles</t>
  </si>
  <si>
    <t>0149</t>
  </si>
  <si>
    <t>Élevage d'autres animaux</t>
  </si>
  <si>
    <t>0150</t>
  </si>
  <si>
    <t>Culture et élevage associés</t>
  </si>
  <si>
    <t>0161</t>
  </si>
  <si>
    <t>Activités de soutien aux cultures</t>
  </si>
  <si>
    <t>0162</t>
  </si>
  <si>
    <t>Activités de soutien à la production animale</t>
  </si>
  <si>
    <t>0163</t>
  </si>
  <si>
    <t>Traitement primaire des récoltes</t>
  </si>
  <si>
    <t>0164</t>
  </si>
  <si>
    <t>Traitement des semences</t>
  </si>
  <si>
    <t>0170</t>
  </si>
  <si>
    <t>Chasse, piégeage et services annexes</t>
  </si>
  <si>
    <t>0210</t>
  </si>
  <si>
    <t>Sylviculture et autres activités forestières</t>
  </si>
  <si>
    <t>DE02</t>
  </si>
  <si>
    <t>Sylviculture, exploitation forestière et services annexes</t>
  </si>
  <si>
    <t>02</t>
  </si>
  <si>
    <t>0220</t>
  </si>
  <si>
    <t>Exploitation forestière</t>
  </si>
  <si>
    <t>0230</t>
  </si>
  <si>
    <t>Récolte de produits forestiers non ligneux poussant à l'état sauvage</t>
  </si>
  <si>
    <t>0240</t>
  </si>
  <si>
    <t>Services de soutien à l'exploitation forestière</t>
  </si>
  <si>
    <t>0311</t>
  </si>
  <si>
    <t>Pêche en mer</t>
  </si>
  <si>
    <t>DE05</t>
  </si>
  <si>
    <t>Pêche, pisciculture et aquaculture</t>
  </si>
  <si>
    <t>03</t>
  </si>
  <si>
    <t>0312</t>
  </si>
  <si>
    <t>Pêche en eau douce</t>
  </si>
  <si>
    <t>0321</t>
  </si>
  <si>
    <t>Aquaculture en mer</t>
  </si>
  <si>
    <t>0322</t>
  </si>
  <si>
    <t>Aquaculture en eau douce</t>
  </si>
  <si>
    <t>0510</t>
  </si>
  <si>
    <t>Extraction de houille</t>
  </si>
  <si>
    <t>PU220</t>
  </si>
  <si>
    <t>Industries de l'énergie et de l'eau</t>
  </si>
  <si>
    <t>05+06+091+0721+19+2446+38222+35+36</t>
  </si>
  <si>
    <t>0520</t>
  </si>
  <si>
    <t>Extraction de lignite</t>
  </si>
  <si>
    <t>0610</t>
  </si>
  <si>
    <t>Extraction de pétrole brut</t>
  </si>
  <si>
    <t>0620</t>
  </si>
  <si>
    <t>Extraction de gaz naturel</t>
  </si>
  <si>
    <t>0710</t>
  </si>
  <si>
    <t>Extraction de minerais de fer</t>
  </si>
  <si>
    <t>PU230</t>
  </si>
  <si>
    <t>Production de biens intermédiaires (hors énergie, eau et industrie automobile)</t>
  </si>
  <si>
    <t>07+08+106+109+131+132+133+16+17+201+202+203+205+206+22+23+24+255+256+257+258+259+2712+2732+272+274+279+261+383</t>
  </si>
  <si>
    <t>0721</t>
  </si>
  <si>
    <t>Extraction de minerais d'uranium et de thorium</t>
  </si>
  <si>
    <t>0729</t>
  </si>
  <si>
    <t>Extraction d'autres minerais de métaux non ferreux</t>
  </si>
  <si>
    <t>0811</t>
  </si>
  <si>
    <t>Extraction de pierres ornementales et de construction, de pierres calcaires, de gypse, de craie et d'ardoise</t>
  </si>
  <si>
    <t>DE14</t>
  </si>
  <si>
    <t>Autres industries extractives</t>
  </si>
  <si>
    <t>08</t>
  </si>
  <si>
    <t>0812</t>
  </si>
  <si>
    <t>Exploitation de gravières et de sablières, extraction d'argiles et de kaolin</t>
  </si>
  <si>
    <t>0891</t>
  </si>
  <si>
    <t>Extraction des minéraux chimiques et d'engrais minéraux</t>
  </si>
  <si>
    <t>0892</t>
  </si>
  <si>
    <t>Extraction de tourbe</t>
  </si>
  <si>
    <t>0893</t>
  </si>
  <si>
    <t>Production de sel</t>
  </si>
  <si>
    <t>0899</t>
  </si>
  <si>
    <t>Autres activités extractives n.c.a.</t>
  </si>
  <si>
    <t>0910</t>
  </si>
  <si>
    <t>Activités de soutien à l'extraction d'hydrocarbures</t>
  </si>
  <si>
    <t>0990</t>
  </si>
  <si>
    <t>Activités de soutien aux autres industries extractives</t>
  </si>
  <si>
    <t>1011</t>
  </si>
  <si>
    <t>Transformation et conservation de la viande de boucherie, à l'exclusion de la viande de volaille</t>
  </si>
  <si>
    <t>PU270</t>
  </si>
  <si>
    <t>DE151A</t>
  </si>
  <si>
    <t>Industrie des viandes et des poissons</t>
  </si>
  <si>
    <t>101+102</t>
  </si>
  <si>
    <t>1012</t>
  </si>
  <si>
    <t>Transformation et conservation de la viande de volaille</t>
  </si>
  <si>
    <t>1013</t>
  </si>
  <si>
    <t>Préparation de produits à base de viande ou de viande de volaille</t>
  </si>
  <si>
    <t>1020</t>
  </si>
  <si>
    <t>Transformation et conservation de poisson, de crustacés et de mollusques</t>
  </si>
  <si>
    <t>1031</t>
  </si>
  <si>
    <t>Transformation et conservation de pommes de terre</t>
  </si>
  <si>
    <t>DE153A</t>
  </si>
  <si>
    <t>Industrie des huiles et des végétaux</t>
  </si>
  <si>
    <t>103+104+106</t>
  </si>
  <si>
    <t>1032</t>
  </si>
  <si>
    <t>Préparation de jus de fruits et de légumes</t>
  </si>
  <si>
    <t>1039</t>
  </si>
  <si>
    <t>Autre transformation et conservation de fruits et de légumes</t>
  </si>
  <si>
    <t>1041</t>
  </si>
  <si>
    <t>Fabrication d'huiles et de graisses</t>
  </si>
  <si>
    <t>1042</t>
  </si>
  <si>
    <t>Fabrication de margarine et de graisses comestibles similaires</t>
  </si>
  <si>
    <t>1051</t>
  </si>
  <si>
    <t>Exploitation de laiteries et fabrication de fromage</t>
  </si>
  <si>
    <t>DE155</t>
  </si>
  <si>
    <t>Industrie laitière</t>
  </si>
  <si>
    <t>105</t>
  </si>
  <si>
    <t>1052</t>
  </si>
  <si>
    <t>Fabrication de glaces de consommation</t>
  </si>
  <si>
    <t>1061</t>
  </si>
  <si>
    <t>Travail des grains</t>
  </si>
  <si>
    <t>1062</t>
  </si>
  <si>
    <t xml:space="preserve">Fabrication de produits amylacés </t>
  </si>
  <si>
    <t>1071</t>
  </si>
  <si>
    <t>Fabrication de pain et de pâtisserie fraîche</t>
  </si>
  <si>
    <t>1071+1072</t>
  </si>
  <si>
    <t>1072</t>
  </si>
  <si>
    <t>Fabrication de biscuits, de biscottes et de pâtisseries de conservation</t>
  </si>
  <si>
    <t>1073</t>
  </si>
  <si>
    <t>Fabrication de pâtes alimentaires</t>
  </si>
  <si>
    <t>PU2850</t>
  </si>
  <si>
    <t>DE15</t>
  </si>
  <si>
    <t>Industries alimentaires et fabrication de boissons</t>
  </si>
  <si>
    <t>10+11</t>
  </si>
  <si>
    <t>1081</t>
  </si>
  <si>
    <t>Fabrication de sucre</t>
  </si>
  <si>
    <t>1082</t>
  </si>
  <si>
    <t>Fabrication de cacao, de chocolat et de produits de confiserie</t>
  </si>
  <si>
    <t>1083</t>
  </si>
  <si>
    <t>Transformation du thé et du café</t>
  </si>
  <si>
    <t>1084</t>
  </si>
  <si>
    <t>Fabrication de condiments et d'assaisonnements</t>
  </si>
  <si>
    <t>1085</t>
  </si>
  <si>
    <t>Fabrication de plats préparés</t>
  </si>
  <si>
    <t>1086</t>
  </si>
  <si>
    <t>Fabrication d'aliments homogénéisés et diététiques</t>
  </si>
  <si>
    <t>1089</t>
  </si>
  <si>
    <t>Fabrication d'autres produits alimentaires n.c.a.</t>
  </si>
  <si>
    <t>1091</t>
  </si>
  <si>
    <t>Fabrication d'aliments pour animaux de ferme</t>
  </si>
  <si>
    <t>1092</t>
  </si>
  <si>
    <t>Fabrication d'aliments pour animaux de compagnie</t>
  </si>
  <si>
    <t>1101</t>
  </si>
  <si>
    <t>Production de boissons alcooliques distillées</t>
  </si>
  <si>
    <t>DE159</t>
  </si>
  <si>
    <t>Industrie des boissons</t>
  </si>
  <si>
    <t>11</t>
  </si>
  <si>
    <t>1102</t>
  </si>
  <si>
    <t>Production de vin (de raisin)</t>
  </si>
  <si>
    <t>1103</t>
  </si>
  <si>
    <t>Fabrication de cidre et de vins d'autres fruits</t>
  </si>
  <si>
    <t>1104</t>
  </si>
  <si>
    <t>Production d'autres boissons fermentées non distillées</t>
  </si>
  <si>
    <t>1105</t>
  </si>
  <si>
    <t>Fabrication de bière</t>
  </si>
  <si>
    <t>1106</t>
  </si>
  <si>
    <t>Fabrication de malt</t>
  </si>
  <si>
    <t>1107</t>
  </si>
  <si>
    <t>Industrie des eaux minérales et autres eaux embouteillées et des boissons rafraîchissantes</t>
  </si>
  <si>
    <t>1200</t>
  </si>
  <si>
    <t>Fabrication de produits à base de tabac</t>
  </si>
  <si>
    <t>DE16</t>
  </si>
  <si>
    <t>Industrie du tabac</t>
  </si>
  <si>
    <t>12</t>
  </si>
  <si>
    <t>1310</t>
  </si>
  <si>
    <t xml:space="preserve">Préparation de fibres textiles et filature </t>
  </si>
  <si>
    <t>PU2801</t>
  </si>
  <si>
    <t>DE171A</t>
  </si>
  <si>
    <t>Filature, tissage et ennoblissement textile</t>
  </si>
  <si>
    <t>131+132+133</t>
  </si>
  <si>
    <t>1320</t>
  </si>
  <si>
    <t>Tissage</t>
  </si>
  <si>
    <t>1330</t>
  </si>
  <si>
    <t>Ennoblissement textile</t>
  </si>
  <si>
    <t>1391</t>
  </si>
  <si>
    <t>Fabrication d'étoffes à mailles</t>
  </si>
  <si>
    <t>DE175</t>
  </si>
  <si>
    <t>Autres industries textiles</t>
  </si>
  <si>
    <t>139-1932</t>
  </si>
  <si>
    <t>1392</t>
  </si>
  <si>
    <t>Fabrication d'articles textiles confectionnés, sauf habillement</t>
  </si>
  <si>
    <t>DE174</t>
  </si>
  <si>
    <t>Confection textile (hors habillement)</t>
  </si>
  <si>
    <t>1393</t>
  </si>
  <si>
    <t>Fabrication de tapis et de moquettes</t>
  </si>
  <si>
    <t>1394</t>
  </si>
  <si>
    <t>Fabrication de ficelles, de cordes et de filets</t>
  </si>
  <si>
    <t>1395</t>
  </si>
  <si>
    <t>Fabrication de non-tissés, sauf habillement</t>
  </si>
  <si>
    <t>1396</t>
  </si>
  <si>
    <t>Fabrication d'autres textiles techniques et industriels</t>
  </si>
  <si>
    <t>1399</t>
  </si>
  <si>
    <t>Fabrication d'autres textiles n.c.a.</t>
  </si>
  <si>
    <t>1411</t>
  </si>
  <si>
    <t>Fabrication de vêtements en cuir</t>
  </si>
  <si>
    <t>PU2802</t>
  </si>
  <si>
    <t>DE19</t>
  </si>
  <si>
    <t>Industrie du cuir et de la chaussure</t>
  </si>
  <si>
    <t>15+1411</t>
  </si>
  <si>
    <t>1412</t>
  </si>
  <si>
    <t>Fabrication de vêtements de travail</t>
  </si>
  <si>
    <t>DE182</t>
  </si>
  <si>
    <t>Industrie de l'habillement</t>
  </si>
  <si>
    <t>141-1411</t>
  </si>
  <si>
    <t>1413</t>
  </si>
  <si>
    <t>Fabrication d'autres vêtements de dessus</t>
  </si>
  <si>
    <t>1414</t>
  </si>
  <si>
    <t>Fabrication de vêtements de dessous</t>
  </si>
  <si>
    <t>1419</t>
  </si>
  <si>
    <t>Fabrication d'autres vêtements et accessoires</t>
  </si>
  <si>
    <t>1420</t>
  </si>
  <si>
    <t>Fabrication d'articles en fourrure</t>
  </si>
  <si>
    <t>1431</t>
  </si>
  <si>
    <t>Fabrication d'articles chaussants à mailles</t>
  </si>
  <si>
    <t>1439</t>
  </si>
  <si>
    <t>Fabrication d'autres articles à mailles</t>
  </si>
  <si>
    <t>1511</t>
  </si>
  <si>
    <t>Apprêt et tannage des cuirs; préparation et teinture des fourrures</t>
  </si>
  <si>
    <t>1512</t>
  </si>
  <si>
    <t>Fabrication d'articles de voyage, de maroquinerie et de sellerie</t>
  </si>
  <si>
    <t>1520</t>
  </si>
  <si>
    <t>Fabrication de chaussures</t>
  </si>
  <si>
    <t>1610</t>
  </si>
  <si>
    <t>Sciage et rabotage du bois</t>
  </si>
  <si>
    <t>PU2803</t>
  </si>
  <si>
    <t>DE201</t>
  </si>
  <si>
    <t>Sciage et préparation industrielle</t>
  </si>
  <si>
    <t>161</t>
  </si>
  <si>
    <t>1621</t>
  </si>
  <si>
    <t>Fabrication de placage et de panneaux de bois</t>
  </si>
  <si>
    <t>DE202A</t>
  </si>
  <si>
    <t>Autres travaux du bois</t>
  </si>
  <si>
    <t>1621+1622+1624+1629</t>
  </si>
  <si>
    <t>1622</t>
  </si>
  <si>
    <t>Fabrication de parquets assemblés</t>
  </si>
  <si>
    <t>1623</t>
  </si>
  <si>
    <t>Fabrication de charpentes et d'autres menuiseries</t>
  </si>
  <si>
    <t>DE203</t>
  </si>
  <si>
    <t>Fabrication de charpentes et menuiseries</t>
  </si>
  <si>
    <t>1624</t>
  </si>
  <si>
    <t>Fabrication d'emballages en bois</t>
  </si>
  <si>
    <t>1629</t>
  </si>
  <si>
    <t>Fabrication d'objets divers en bois; fabrication d'objets en liège, vannerie et sparterie</t>
  </si>
  <si>
    <t>1711</t>
  </si>
  <si>
    <t>Fabrication de pâte à papier</t>
  </si>
  <si>
    <t>PU2811</t>
  </si>
  <si>
    <t>DE21</t>
  </si>
  <si>
    <t>Industrie du papier et du carton</t>
  </si>
  <si>
    <t>1712</t>
  </si>
  <si>
    <t>Fabrication de papier et de carton</t>
  </si>
  <si>
    <t>1721</t>
  </si>
  <si>
    <t>Fabrication de papier et de carton ondulés et d'emballages en papier ou en carton</t>
  </si>
  <si>
    <t>1722</t>
  </si>
  <si>
    <t>Fabrication d'articles en papier à usage sanitaire ou domestique</t>
  </si>
  <si>
    <t>1723</t>
  </si>
  <si>
    <t>Fabrication d'articles de papeterie</t>
  </si>
  <si>
    <t>1724</t>
  </si>
  <si>
    <t>Fabrication de papiers peints</t>
  </si>
  <si>
    <t>1729</t>
  </si>
  <si>
    <t>Fabrication d'autres articles en papier ou en carton</t>
  </si>
  <si>
    <t>1811</t>
  </si>
  <si>
    <t>Imprimerie de journaux</t>
  </si>
  <si>
    <t>DE222</t>
  </si>
  <si>
    <t>Imprimerie et activités annexes</t>
  </si>
  <si>
    <t>181</t>
  </si>
  <si>
    <t>1812</t>
  </si>
  <si>
    <t>Autre imprimerie (labeur)</t>
  </si>
  <si>
    <t>1813</t>
  </si>
  <si>
    <t xml:space="preserve">Activités de prépresse </t>
  </si>
  <si>
    <t>1814</t>
  </si>
  <si>
    <t>Reliure et activités annexes</t>
  </si>
  <si>
    <t>1820</t>
  </si>
  <si>
    <t>Reproduction d'enregistrements</t>
  </si>
  <si>
    <t>DE22</t>
  </si>
  <si>
    <t>Edition, imprimerie et reproduction</t>
  </si>
  <si>
    <t>18+581+59203</t>
  </si>
  <si>
    <t>1910</t>
  </si>
  <si>
    <t>Cokéfaction</t>
  </si>
  <si>
    <t>DE23</t>
  </si>
  <si>
    <t>Cokéfaction, raffinage et industrie nucléaire</t>
  </si>
  <si>
    <t>19+2446+38222</t>
  </si>
  <si>
    <t>1920</t>
  </si>
  <si>
    <t>Raffinage du pétrole</t>
  </si>
  <si>
    <t>2011</t>
  </si>
  <si>
    <t>Fabrication de gaz industriels</t>
  </si>
  <si>
    <t>PU2312</t>
  </si>
  <si>
    <t>DE241</t>
  </si>
  <si>
    <t>Industrie chimique de base</t>
  </si>
  <si>
    <t>201</t>
  </si>
  <si>
    <t>2012</t>
  </si>
  <si>
    <t>Fabrication de colorants et de pigments</t>
  </si>
  <si>
    <t>2013</t>
  </si>
  <si>
    <t>Fabrication d'autres produits chimiques inorganiques de base</t>
  </si>
  <si>
    <t>2014</t>
  </si>
  <si>
    <t>Fabrication d'autres produits chimiques organiques de base</t>
  </si>
  <si>
    <t>2015</t>
  </si>
  <si>
    <t>Fabrication de produits azotés et d'engrais</t>
  </si>
  <si>
    <t>2016</t>
  </si>
  <si>
    <t>Fabrication de matières plastiques de base</t>
  </si>
  <si>
    <t>2017</t>
  </si>
  <si>
    <t>Fabrication de caoutchouc synthétique</t>
  </si>
  <si>
    <t>2020</t>
  </si>
  <si>
    <t>Fabrication de pesticides et d'autres produits agrochimiques</t>
  </si>
  <si>
    <t>Industrie chimique</t>
  </si>
  <si>
    <t>20+21</t>
  </si>
  <si>
    <t>2030</t>
  </si>
  <si>
    <t>Fabrication de peintures, de vernis, d'encres et de mastics</t>
  </si>
  <si>
    <t>DE243</t>
  </si>
  <si>
    <t>Fabrication de peintures, de vernis et d'encres d'imprimeries</t>
  </si>
  <si>
    <t>203</t>
  </si>
  <si>
    <t>2041</t>
  </si>
  <si>
    <t>Fabrication de savons, de détergents et de produits d'entretien</t>
  </si>
  <si>
    <t>DE245</t>
  </si>
  <si>
    <t>Fabrication de détergents et cosmétiques</t>
  </si>
  <si>
    <t>204</t>
  </si>
  <si>
    <t>2042</t>
  </si>
  <si>
    <t>Fabrication de parfums et de produits de toilette</t>
  </si>
  <si>
    <t>2051</t>
  </si>
  <si>
    <t>Fabrication de produits explosifs</t>
  </si>
  <si>
    <t>2052</t>
  </si>
  <si>
    <t>Fabrication de colles</t>
  </si>
  <si>
    <t>2053</t>
  </si>
  <si>
    <t>Fabrication d'huiles essentielles</t>
  </si>
  <si>
    <t>2059</t>
  </si>
  <si>
    <t>Fabrication d'autres produits chimiques n.c.a.</t>
  </si>
  <si>
    <t>2060</t>
  </si>
  <si>
    <t>Fabrication de fibres artificielles ou synthétiques</t>
  </si>
  <si>
    <t>2110</t>
  </si>
  <si>
    <t>Fabrication de produits pharmaceutiques de base</t>
  </si>
  <si>
    <t>DE244</t>
  </si>
  <si>
    <t>Industrie pharmaceutique</t>
  </si>
  <si>
    <t>2120</t>
  </si>
  <si>
    <t>Fabrication de préparations pharmaceutiques</t>
  </si>
  <si>
    <t>2211</t>
  </si>
  <si>
    <t>Fabrication et rechapage de pneumatiques</t>
  </si>
  <si>
    <t>PU2301</t>
  </si>
  <si>
    <t>Industrie du caoutchouc, transformation des matières plastiques</t>
  </si>
  <si>
    <t>22</t>
  </si>
  <si>
    <t>2219</t>
  </si>
  <si>
    <t>Fabrication d'autres articles en caoutchouc</t>
  </si>
  <si>
    <t>2221</t>
  </si>
  <si>
    <t>DE252</t>
  </si>
  <si>
    <t>Transformation des matières plastiques</t>
  </si>
  <si>
    <t>222</t>
  </si>
  <si>
    <t>2222</t>
  </si>
  <si>
    <t>Fabrication d'emballages en matières plastiques</t>
  </si>
  <si>
    <t>2223</t>
  </si>
  <si>
    <t>Fabrication d'éléments en matières plastiques pour la construction</t>
  </si>
  <si>
    <t>2229</t>
  </si>
  <si>
    <t>Fabrication d'autres articles en matières plastiques</t>
  </si>
  <si>
    <t>2311</t>
  </si>
  <si>
    <t>Fabrication de verre plat</t>
  </si>
  <si>
    <t>PU2302</t>
  </si>
  <si>
    <t>DE261</t>
  </si>
  <si>
    <t>Industrie du verre</t>
  </si>
  <si>
    <t>231</t>
  </si>
  <si>
    <t>2312</t>
  </si>
  <si>
    <t>Façonnage et transformation du verre plat</t>
  </si>
  <si>
    <t>2313</t>
  </si>
  <si>
    <t>Fabrication de verre creux</t>
  </si>
  <si>
    <t>2314</t>
  </si>
  <si>
    <t>Fabrication de fibres de verre</t>
  </si>
  <si>
    <t>2319</t>
  </si>
  <si>
    <t>Fabrication et façonnage d'autres articles en verre, y compris verre technique</t>
  </si>
  <si>
    <t>2320</t>
  </si>
  <si>
    <t>Fabrication de produits réfractaires</t>
  </si>
  <si>
    <t>Industrie des produits minéraux non métalliques</t>
  </si>
  <si>
    <t>23</t>
  </si>
  <si>
    <t>2331</t>
  </si>
  <si>
    <t>Fabrication de carreaux en céramique</t>
  </si>
  <si>
    <t>DE262A</t>
  </si>
  <si>
    <t>Fabrication de produits céramiques</t>
  </si>
  <si>
    <t>234+2331</t>
  </si>
  <si>
    <t>2332</t>
  </si>
  <si>
    <t>Fabrication de briques, de tuiles et de produits de construction en terre cuite</t>
  </si>
  <si>
    <t>2341</t>
  </si>
  <si>
    <t>Fabrication d'articles céramiques à usage domestique ou ornemental</t>
  </si>
  <si>
    <t>2342</t>
  </si>
  <si>
    <t>Fabrication d'appareils sanitaires en céramique</t>
  </si>
  <si>
    <t>2343</t>
  </si>
  <si>
    <t>Fabrication d'isolateurs et de pièces isolantes en céramique</t>
  </si>
  <si>
    <t>2344</t>
  </si>
  <si>
    <t>Fabrication d'autres produits céramiques à usage technique</t>
  </si>
  <si>
    <t>2349</t>
  </si>
  <si>
    <t>Fabrication d'autres produits céramiques</t>
  </si>
  <si>
    <t>2351</t>
  </si>
  <si>
    <t>Fabrication de ciment</t>
  </si>
  <si>
    <t>DE265A</t>
  </si>
  <si>
    <t>Industrie du béton</t>
  </si>
  <si>
    <t>235+236</t>
  </si>
  <si>
    <t>2352</t>
  </si>
  <si>
    <t>Fabrication de chaux et de plâtre</t>
  </si>
  <si>
    <t>2361</t>
  </si>
  <si>
    <t>Fabrication d'éléments en béton pour la construction</t>
  </si>
  <si>
    <t>2362</t>
  </si>
  <si>
    <t>Fabrication d'éléments en plâtre pour la construction</t>
  </si>
  <si>
    <t>2363</t>
  </si>
  <si>
    <t>Fabrication de béton prêt à l'emploi</t>
  </si>
  <si>
    <t>2364</t>
  </si>
  <si>
    <t>Fabrication de mortiers et de bétons secs</t>
  </si>
  <si>
    <t>2365</t>
  </si>
  <si>
    <t>Fabrication d'ouvrages en fibre-ciment</t>
  </si>
  <si>
    <t>2369</t>
  </si>
  <si>
    <t>Fabrication d'autres ouvrages en béton, en ciment ou en plâtre</t>
  </si>
  <si>
    <t>2370</t>
  </si>
  <si>
    <t>Taille, façonnage et finissage de pierres</t>
  </si>
  <si>
    <t>DE267</t>
  </si>
  <si>
    <t>Travail de la pierre</t>
  </si>
  <si>
    <t>237</t>
  </si>
  <si>
    <t>2391</t>
  </si>
  <si>
    <t>Fabrication de produits abrasifs</t>
  </si>
  <si>
    <t>2399</t>
  </si>
  <si>
    <t>Fabrication d'autres produits minéraux non métalliques n.c.a.</t>
  </si>
  <si>
    <t>2410</t>
  </si>
  <si>
    <t>Sidérurgie</t>
  </si>
  <si>
    <t>PU2303</t>
  </si>
  <si>
    <t>241</t>
  </si>
  <si>
    <t>2420</t>
  </si>
  <si>
    <t>Fabrication de tubes, de tuyaux, de profilés creux et d'accessoires correspondants en acier</t>
  </si>
  <si>
    <t>DE27</t>
  </si>
  <si>
    <t>Métallurgie</t>
  </si>
  <si>
    <t>24</t>
  </si>
  <si>
    <t>2431</t>
  </si>
  <si>
    <t>Étirage à froid de barres</t>
  </si>
  <si>
    <t>2432</t>
  </si>
  <si>
    <t>Laminage à froid de feuillards</t>
  </si>
  <si>
    <t>2433</t>
  </si>
  <si>
    <t>Profilage à froid par formage ou pliage</t>
  </si>
  <si>
    <t>2434</t>
  </si>
  <si>
    <t>Tréfilage à froid</t>
  </si>
  <si>
    <t>2441</t>
  </si>
  <si>
    <t>Production de métaux précieux</t>
  </si>
  <si>
    <t>PU2304</t>
  </si>
  <si>
    <t>Production et première transformation des métaux non ferreux</t>
  </si>
  <si>
    <t>244</t>
  </si>
  <si>
    <t>2442</t>
  </si>
  <si>
    <t>Métallurgie de l'aluminium</t>
  </si>
  <si>
    <t>2443</t>
  </si>
  <si>
    <t>Métallurgie du plomb, du zinc ou de l'étain</t>
  </si>
  <si>
    <t>2444</t>
  </si>
  <si>
    <t>Métallurgie du cuivre</t>
  </si>
  <si>
    <t>2445</t>
  </si>
  <si>
    <t>Métallurgie des autres métaux non ferreux</t>
  </si>
  <si>
    <t>2446</t>
  </si>
  <si>
    <t>Élaboration et transformation de matières nucléaires</t>
  </si>
  <si>
    <t>2451</t>
  </si>
  <si>
    <t>Fonderie de fonte</t>
  </si>
  <si>
    <t>2452</t>
  </si>
  <si>
    <t>Fonderie d'acier</t>
  </si>
  <si>
    <t>2453</t>
  </si>
  <si>
    <t>Fonderie de métaux légers</t>
  </si>
  <si>
    <t>2454</t>
  </si>
  <si>
    <t>Fonderie d'autres métaux non ferreux</t>
  </si>
  <si>
    <t>2511</t>
  </si>
  <si>
    <t>Fabrication de structures métalliques et de parties de structures</t>
  </si>
  <si>
    <t>PU2511</t>
  </si>
  <si>
    <t>DE2811</t>
  </si>
  <si>
    <t>Constructions métalliques</t>
  </si>
  <si>
    <t>2512</t>
  </si>
  <si>
    <t>Fabrication de portes et de fenêtres en métal</t>
  </si>
  <si>
    <t>DE2812</t>
  </si>
  <si>
    <t>Fabrication de charpentes et menuiseries métalliques</t>
  </si>
  <si>
    <t>2521</t>
  </si>
  <si>
    <t>Fabrication de radiateurs et de chaudières pour le chauffage central</t>
  </si>
  <si>
    <t>DE28</t>
  </si>
  <si>
    <t>Travail des métaux</t>
  </si>
  <si>
    <t>25</t>
  </si>
  <si>
    <t>2529</t>
  </si>
  <si>
    <t>Fabrication d'autres réservoirs, citernes et conteneurs métalliques</t>
  </si>
  <si>
    <t>2530</t>
  </si>
  <si>
    <t>Fabrication de générateurs de vapeur, à l'exception des chaudières pour le chauffage central</t>
  </si>
  <si>
    <t>2540</t>
  </si>
  <si>
    <t>Fabrication d'armes et de munitions</t>
  </si>
  <si>
    <t>2550</t>
  </si>
  <si>
    <t>Forge, emboutissage, estampage des métaux; métallurgie des poudres</t>
  </si>
  <si>
    <t>2561</t>
  </si>
  <si>
    <t>Traitement et revêtement des métaux</t>
  </si>
  <si>
    <t>DE285</t>
  </si>
  <si>
    <t>256</t>
  </si>
  <si>
    <t>2562</t>
  </si>
  <si>
    <t>Usinage</t>
  </si>
  <si>
    <t>2571</t>
  </si>
  <si>
    <t>Fabrication de coutellerie</t>
  </si>
  <si>
    <t>2572</t>
  </si>
  <si>
    <t>Fabrication de serrures et de ferrures</t>
  </si>
  <si>
    <t>2573</t>
  </si>
  <si>
    <t>Fabrication d'outillage</t>
  </si>
  <si>
    <t>2591</t>
  </si>
  <si>
    <t>Fabrication de fûts et d'emballages métalliques similaires</t>
  </si>
  <si>
    <t>2592</t>
  </si>
  <si>
    <t>Fabrication d'emballages métalliques légers</t>
  </si>
  <si>
    <t>2593</t>
  </si>
  <si>
    <t>Fabrication d'articles en fils métalliques, de chaînes et de ressorts</t>
  </si>
  <si>
    <t>2594</t>
  </si>
  <si>
    <t>Fabrication de vis et de boulons</t>
  </si>
  <si>
    <t>2599</t>
  </si>
  <si>
    <t>Fabrication d'autres produits métalliques n.c.a.</t>
  </si>
  <si>
    <t>2611</t>
  </si>
  <si>
    <t>Fabrication de composants électroniques</t>
  </si>
  <si>
    <t>DE9612</t>
  </si>
  <si>
    <t>Fabrication d'ordinateurs, équipements périphériques et composants électroniques</t>
  </si>
  <si>
    <t>261+262</t>
  </si>
  <si>
    <t>2612</t>
  </si>
  <si>
    <t>Fabrication de cartes électroniques assemblées</t>
  </si>
  <si>
    <t>2620</t>
  </si>
  <si>
    <t>Fabrication d'ordinateurs et d'équipements périphériques</t>
  </si>
  <si>
    <t>2630</t>
  </si>
  <si>
    <t>Fabrication d'équipements de communication</t>
  </si>
  <si>
    <t>DE32</t>
  </si>
  <si>
    <t>Fabrication d'équipements de radio, télévision et communication</t>
  </si>
  <si>
    <t>261+263+264</t>
  </si>
  <si>
    <t>2640</t>
  </si>
  <si>
    <t>Fabrication de produits électroniques grand public</t>
  </si>
  <si>
    <t>2651</t>
  </si>
  <si>
    <t>Fabrication d'instruments et d'appareils de mesure, d'essai et de navigation</t>
  </si>
  <si>
    <t>DE33</t>
  </si>
  <si>
    <t>Fabrication d'instruments médicaux, de précision, d'optique et d'horlogerie</t>
  </si>
  <si>
    <t>265+266+267+325+332</t>
  </si>
  <si>
    <t>2652</t>
  </si>
  <si>
    <t>Horlogerie</t>
  </si>
  <si>
    <t>DE9611</t>
  </si>
  <si>
    <t>Fabrication de produits informatiques, électroniques et optiques</t>
  </si>
  <si>
    <t>26</t>
  </si>
  <si>
    <t>2660</t>
  </si>
  <si>
    <t>Fabrication d'équipements d'irradiation médicale, d'équipements électromédicaux et électrothérapeutiques</t>
  </si>
  <si>
    <t>2670</t>
  </si>
  <si>
    <t>Fabrication de matériels optiques et photographiques</t>
  </si>
  <si>
    <t>2680</t>
  </si>
  <si>
    <t>Fabrication de supports magnétiques et optiques</t>
  </si>
  <si>
    <t>2711</t>
  </si>
  <si>
    <t>Fabrication de moteurs, de génératrices et de transformateurs électriques</t>
  </si>
  <si>
    <t>PU2611</t>
  </si>
  <si>
    <t>DE31</t>
  </si>
  <si>
    <t>Fabrication de machines et appareils électriques</t>
  </si>
  <si>
    <t>263+27+2931</t>
  </si>
  <si>
    <t>2712</t>
  </si>
  <si>
    <t>Fabrication de matériel de distribution et de commande électrique</t>
  </si>
  <si>
    <t>2720</t>
  </si>
  <si>
    <t>Fabrication de piles et d'accumulateurs électriques</t>
  </si>
  <si>
    <t>2731</t>
  </si>
  <si>
    <t>Fabrication de câbles de fibres optiques</t>
  </si>
  <si>
    <t>2732</t>
  </si>
  <si>
    <t>Fabrication d'autres fils et de câbles électroniques ou électriques</t>
  </si>
  <si>
    <t>2733</t>
  </si>
  <si>
    <t>Fabrication de matériel d'installation électrique</t>
  </si>
  <si>
    <t>2740</t>
  </si>
  <si>
    <t>Fabrication de lampes et d'appareils d'éclairage électrique</t>
  </si>
  <si>
    <t>Industrie transformatrice des métaux, mécanique de précision et optique</t>
  </si>
  <si>
    <t>245+25+26-268+27+28+29+30+325+332+3311</t>
  </si>
  <si>
    <t>2751</t>
  </si>
  <si>
    <t>Fabrication d'appareils électroménagers</t>
  </si>
  <si>
    <t>PU260</t>
  </si>
  <si>
    <t>Production de biens de consommation durables (hors industrie automobile)</t>
  </si>
  <si>
    <t>264+2652+267+275+309+31+321+322</t>
  </si>
  <si>
    <t>2752</t>
  </si>
  <si>
    <t>Fabrication d'appareils ménagers non électriques</t>
  </si>
  <si>
    <t>2790</t>
  </si>
  <si>
    <t>Fabrication d'autres matériels électriques</t>
  </si>
  <si>
    <t>2811</t>
  </si>
  <si>
    <t xml:space="preserve">Fabrication de moteurs et de turbines, à l'exception des moteurs d'avions, de véhicules automobiles et de motocycles </t>
  </si>
  <si>
    <t>DE29</t>
  </si>
  <si>
    <t>Fabrication de machines et équipements</t>
  </si>
  <si>
    <t>2812</t>
  </si>
  <si>
    <t>Fabrication d'équipements hydrauliques et pneumatiques</t>
  </si>
  <si>
    <t>2813</t>
  </si>
  <si>
    <t>Fabrication d'autres pompes et de compresseurs</t>
  </si>
  <si>
    <t>2814</t>
  </si>
  <si>
    <t>Fabrication d'autres articles de robinetterie</t>
  </si>
  <si>
    <t>2815</t>
  </si>
  <si>
    <t>Fabrication d'engrenages et d'organes mécaniques de transmission</t>
  </si>
  <si>
    <t>2821</t>
  </si>
  <si>
    <t>Fabrication de fours et de brûleurs</t>
  </si>
  <si>
    <t>2822</t>
  </si>
  <si>
    <t>Fabrication de matériel de levage et de manutention</t>
  </si>
  <si>
    <t>2823</t>
  </si>
  <si>
    <t>Fabrication de machines et d'équipements de bureau (à l'exception des ordinateurs et des équipements périphériques)</t>
  </si>
  <si>
    <t>PU250</t>
  </si>
  <si>
    <t>DE30</t>
  </si>
  <si>
    <t>Fabrication de machines de bureau et de matériel informatique</t>
  </si>
  <si>
    <t>262+2823</t>
  </si>
  <si>
    <t>2824</t>
  </si>
  <si>
    <t>Fabrication d'outillage portatif à moteur incorporé</t>
  </si>
  <si>
    <t>2825</t>
  </si>
  <si>
    <t>Fabrication d'équipements aérauliques et frigorifiques industriels</t>
  </si>
  <si>
    <t>2829</t>
  </si>
  <si>
    <t>Fabrication de machines diverses d'usage général</t>
  </si>
  <si>
    <t>2830</t>
  </si>
  <si>
    <t>Fabrication de machines agricoles et forestières</t>
  </si>
  <si>
    <t>2841</t>
  </si>
  <si>
    <t>Fabrication de machines de formage des métaux</t>
  </si>
  <si>
    <t>2849</t>
  </si>
  <si>
    <t>Fabrication d'autres machines-outils</t>
  </si>
  <si>
    <t>2891</t>
  </si>
  <si>
    <t>Fabrication de machines pour la métallurgie</t>
  </si>
  <si>
    <t>2892</t>
  </si>
  <si>
    <t>Fabrication de machines pour l'extraction ou la construction</t>
  </si>
  <si>
    <t>2893</t>
  </si>
  <si>
    <t>Fabrication de machines pour l'industrie agro-alimentaire</t>
  </si>
  <si>
    <t>2894</t>
  </si>
  <si>
    <t>Fabrication de machines pour les industries textiles</t>
  </si>
  <si>
    <t>2895</t>
  </si>
  <si>
    <t>Fabrication de machines pour les industries du papier et du carton</t>
  </si>
  <si>
    <t>2896</t>
  </si>
  <si>
    <t>Fabrication de machines pour le travail du caoutchouc ou des plastiques</t>
  </si>
  <si>
    <t>2899</t>
  </si>
  <si>
    <t>Fabrication d'autres machines d'usage spécifique n.c.a.</t>
  </si>
  <si>
    <t>2910</t>
  </si>
  <si>
    <t>Construction et assemblage de véhicules automobiles</t>
  </si>
  <si>
    <t>PU240</t>
  </si>
  <si>
    <t>Industrie automobile</t>
  </si>
  <si>
    <t>2920</t>
  </si>
  <si>
    <t>Fabrication de carrosseries de véhicules automobiles; fabrication de remorques et de semi-remorques</t>
  </si>
  <si>
    <t>2931</t>
  </si>
  <si>
    <t>Fabrication d'équipements électriques et électroniques pour véhicules automobiles</t>
  </si>
  <si>
    <t>2932</t>
  </si>
  <si>
    <t>Fabrication d'autres équipements pour véhicules automobiles</t>
  </si>
  <si>
    <t>3011</t>
  </si>
  <si>
    <t>Construction de navires et de structures flottantes</t>
  </si>
  <si>
    <t>DE35</t>
  </si>
  <si>
    <t>Fabrication d'autres matériels de transport</t>
  </si>
  <si>
    <t>30</t>
  </si>
  <si>
    <t>3012</t>
  </si>
  <si>
    <t>Construction de bateaux de plaisance</t>
  </si>
  <si>
    <t>3020</t>
  </si>
  <si>
    <t>Construction de locomotives et d'autre matériel ferroviaire roulant</t>
  </si>
  <si>
    <t>3030</t>
  </si>
  <si>
    <t>Construction aéronautique et spatiale</t>
  </si>
  <si>
    <t>3040</t>
  </si>
  <si>
    <t>Construction de véhicules militaires de combat</t>
  </si>
  <si>
    <t>3091</t>
  </si>
  <si>
    <t>Fabrication de motocycles</t>
  </si>
  <si>
    <t>3092</t>
  </si>
  <si>
    <t>Fabrication de bicyclettes et de véhicules pour invalides</t>
  </si>
  <si>
    <t>3099</t>
  </si>
  <si>
    <t>Fabrication d'autres équipements de transport n.c.a.</t>
  </si>
  <si>
    <t>3101</t>
  </si>
  <si>
    <t>Fabrication de meubles de bureau et de magasin</t>
  </si>
  <si>
    <t>DE36</t>
  </si>
  <si>
    <t>Fabrication de meubles, industries diverses</t>
  </si>
  <si>
    <t>31+32</t>
  </si>
  <si>
    <t>3102</t>
  </si>
  <si>
    <t>Fabrication de meubles de cuisine</t>
  </si>
  <si>
    <t>3103</t>
  </si>
  <si>
    <t>Fabrication de matelas</t>
  </si>
  <si>
    <t>3109</t>
  </si>
  <si>
    <t>Fabrication d'autres meubles</t>
  </si>
  <si>
    <t>3211</t>
  </si>
  <si>
    <t>Frappe de monnaie</t>
  </si>
  <si>
    <t>DE362</t>
  </si>
  <si>
    <t>Industrie des pierres précieuses et bijoux</t>
  </si>
  <si>
    <t>3211+3212</t>
  </si>
  <si>
    <t>3212</t>
  </si>
  <si>
    <t>Travail des pierres précieuses; fabrication d'articles de joaillerie et de bijouterie</t>
  </si>
  <si>
    <t>3213</t>
  </si>
  <si>
    <t xml:space="preserve">Fabrication d'articles de bijouterie de fantaisie et d'articles similaires                          </t>
  </si>
  <si>
    <t>DE363A</t>
  </si>
  <si>
    <t>Fabrication d'articles de loisirs et autres industries diverses</t>
  </si>
  <si>
    <t>3123+322+323+324+329</t>
  </si>
  <si>
    <t>3220</t>
  </si>
  <si>
    <t>Fabrication d'instruments de musique</t>
  </si>
  <si>
    <t>3230</t>
  </si>
  <si>
    <t>Fabrication d'articles de sport</t>
  </si>
  <si>
    <t>3240</t>
  </si>
  <si>
    <t>Fabrication de jeux et de jouets</t>
  </si>
  <si>
    <t>3250</t>
  </si>
  <si>
    <t>Fabrication d'instruments et de fournitures à usage médical et dentaire</t>
  </si>
  <si>
    <t>3291</t>
  </si>
  <si>
    <t>Fabrication d'articles de brosserie</t>
  </si>
  <si>
    <t>3299</t>
  </si>
  <si>
    <t>Autres activités manufacturières n.c.a.</t>
  </si>
  <si>
    <t>3311</t>
  </si>
  <si>
    <t>Réparation d'ouvrages en métaux</t>
  </si>
  <si>
    <t>PU2860</t>
  </si>
  <si>
    <t>Réparation et installation de machines et équipements</t>
  </si>
  <si>
    <t>3312</t>
  </si>
  <si>
    <t>Réparation de machines</t>
  </si>
  <si>
    <t>3313</t>
  </si>
  <si>
    <t>Réparation de matériels électroniques et optiques</t>
  </si>
  <si>
    <t>3314</t>
  </si>
  <si>
    <t>Réparation d'équipements électriques</t>
  </si>
  <si>
    <t>3315</t>
  </si>
  <si>
    <t>Réparation et maintenance navale</t>
  </si>
  <si>
    <t>3316</t>
  </si>
  <si>
    <t>Réparation et maintenance d'aéronefs et d'engins spatiaux</t>
  </si>
  <si>
    <t>3317</t>
  </si>
  <si>
    <t>Réparation et maintenance d'autres équipements de transport</t>
  </si>
  <si>
    <t>3319</t>
  </si>
  <si>
    <t>Réparation d'autres équipements</t>
  </si>
  <si>
    <t>3320</t>
  </si>
  <si>
    <t>Installation de machines et d'équipements industriels</t>
  </si>
  <si>
    <t>3511</t>
  </si>
  <si>
    <t>Production d'électricité</t>
  </si>
  <si>
    <t>PU2201</t>
  </si>
  <si>
    <t>Production et distribution d'énergie électrique, de gaz, de vapeur et d'eau chaude</t>
  </si>
  <si>
    <t>35</t>
  </si>
  <si>
    <t>3512</t>
  </si>
  <si>
    <t>Transport d'électricité</t>
  </si>
  <si>
    <t>3513</t>
  </si>
  <si>
    <t>Distribution d'électricité</t>
  </si>
  <si>
    <t>3514</t>
  </si>
  <si>
    <t>Commerce d'électricité</t>
  </si>
  <si>
    <t>3521</t>
  </si>
  <si>
    <t>Production de combustibles gazeux</t>
  </si>
  <si>
    <t>3522</t>
  </si>
  <si>
    <t>Distribution de combustibles gazeux par conduites</t>
  </si>
  <si>
    <t>3523</t>
  </si>
  <si>
    <t>Commerce de combustibles gazeux par conduites</t>
  </si>
  <si>
    <t>3530</t>
  </si>
  <si>
    <t>Production et distribution de vapeur et d'air conditionné</t>
  </si>
  <si>
    <t>3600</t>
  </si>
  <si>
    <t>Captage, traitement et distribution d'eau</t>
  </si>
  <si>
    <t>PU2202</t>
  </si>
  <si>
    <t>Captage, épuration et distribution d'eau</t>
  </si>
  <si>
    <t>36</t>
  </si>
  <si>
    <t>3700</t>
  </si>
  <si>
    <t>Collecte et traitement des eaux usées</t>
  </si>
  <si>
    <t>PU3403</t>
  </si>
  <si>
    <t>DE90</t>
  </si>
  <si>
    <t>Assainissement, voirie et gestion des déchets</t>
  </si>
  <si>
    <t>37+38+39</t>
  </si>
  <si>
    <t>3811</t>
  </si>
  <si>
    <t>Collecte des déchets non dangereux</t>
  </si>
  <si>
    <t>3812</t>
  </si>
  <si>
    <t>Collecte des déchets dangereux</t>
  </si>
  <si>
    <t>3821</t>
  </si>
  <si>
    <t>Traitement et élimination des déchets non dangereux</t>
  </si>
  <si>
    <t>3822</t>
  </si>
  <si>
    <t>Traitement et élimination des déchets dangereux</t>
  </si>
  <si>
    <t>3831</t>
  </si>
  <si>
    <t>Démantèlement d'épaves</t>
  </si>
  <si>
    <t>DE37</t>
  </si>
  <si>
    <t>Récupération des matières recyclables</t>
  </si>
  <si>
    <t>383</t>
  </si>
  <si>
    <t>3832</t>
  </si>
  <si>
    <t>Récupération de déchets triés</t>
  </si>
  <si>
    <t>3900</t>
  </si>
  <si>
    <t>Dépollution et autres services de gestion des déchets</t>
  </si>
  <si>
    <t>4110</t>
  </si>
  <si>
    <t>Promotion immobilière</t>
  </si>
  <si>
    <t>PU300</t>
  </si>
  <si>
    <t>Bâtiment et génie civil</t>
  </si>
  <si>
    <t>41+42+43</t>
  </si>
  <si>
    <t>4120</t>
  </si>
  <si>
    <t>Construction de bâtiments résidentiels et non résidentiels</t>
  </si>
  <si>
    <t>DE4521</t>
  </si>
  <si>
    <t>Construction de bâtiments résidentiels et non résidentiels; construction de ponts et de tunnels, construction de réseaux et de lignes</t>
  </si>
  <si>
    <t>412+4213+422</t>
  </si>
  <si>
    <t>4211</t>
  </si>
  <si>
    <t>Construction de routes et d'autoroutes</t>
  </si>
  <si>
    <t>DE452</t>
  </si>
  <si>
    <t>Construction de bâtiments résidentiels et non résidentiels et de génie civil</t>
  </si>
  <si>
    <t>412+42+439</t>
  </si>
  <si>
    <t>4212</t>
  </si>
  <si>
    <t>Construction de voies ferrées de surface et souterraines</t>
  </si>
  <si>
    <t>4213</t>
  </si>
  <si>
    <t>Construction de ponts et de tunnels</t>
  </si>
  <si>
    <t>4221</t>
  </si>
  <si>
    <t>Construction de réseaux pour fluides</t>
  </si>
  <si>
    <t>4222</t>
  </si>
  <si>
    <t>Construction de réseaux électriques et de télécommunications</t>
  </si>
  <si>
    <t>4291</t>
  </si>
  <si>
    <t>Construction d'ouvrages maritimes et fluviaux</t>
  </si>
  <si>
    <t>4299</t>
  </si>
  <si>
    <t>Construction d'autres ouvrages de génie civil n.c.a.</t>
  </si>
  <si>
    <t>4311</t>
  </si>
  <si>
    <t>Travaux de démolition</t>
  </si>
  <si>
    <t>4312</t>
  </si>
  <si>
    <t>Travaux de préparation des sites</t>
  </si>
  <si>
    <t>4313</t>
  </si>
  <si>
    <t>Forages d'essai et sondages</t>
  </si>
  <si>
    <t>4321</t>
  </si>
  <si>
    <t>Installation électrique</t>
  </si>
  <si>
    <t>DE4531</t>
  </si>
  <si>
    <t>Travaux d'installation électrique</t>
  </si>
  <si>
    <t>4322</t>
  </si>
  <si>
    <t>Travaux de plomberie et installation de chauffage et de conditionnement d'air</t>
  </si>
  <si>
    <t>DE4533</t>
  </si>
  <si>
    <t>Travaux de plomberie</t>
  </si>
  <si>
    <t>4329</t>
  </si>
  <si>
    <t>Autres travaux d'installation</t>
  </si>
  <si>
    <t>DE453</t>
  </si>
  <si>
    <t>Travaux d'installation</t>
  </si>
  <si>
    <t>432</t>
  </si>
  <si>
    <t>4331</t>
  </si>
  <si>
    <t>Travaux de plâtrerie</t>
  </si>
  <si>
    <t>DE454</t>
  </si>
  <si>
    <t>Travaux de finition</t>
  </si>
  <si>
    <t>433</t>
  </si>
  <si>
    <t>4332</t>
  </si>
  <si>
    <t>Travaux de menuiserie</t>
  </si>
  <si>
    <t>DE4542</t>
  </si>
  <si>
    <t>4333</t>
  </si>
  <si>
    <t>Travaux de revêtement des sols et des murs</t>
  </si>
  <si>
    <t>DE4543</t>
  </si>
  <si>
    <t>4334</t>
  </si>
  <si>
    <t>Travaux de peinture et vitrerie</t>
  </si>
  <si>
    <t>DE4544</t>
  </si>
  <si>
    <t>Peinture et vitrerie</t>
  </si>
  <si>
    <t>4339</t>
  </si>
  <si>
    <t>Autres travaux de finition</t>
  </si>
  <si>
    <t>4391</t>
  </si>
  <si>
    <t>Travaux de couverture</t>
  </si>
  <si>
    <t>4399</t>
  </si>
  <si>
    <t>Autres travaux de construction spécialisés n.c.a.</t>
  </si>
  <si>
    <t>4511</t>
  </si>
  <si>
    <t>Commerce d'automobiles et d'autres véhicules automobiles légers  ( ≤ 3,5 tonnes )</t>
  </si>
  <si>
    <t>PU310</t>
  </si>
  <si>
    <t>DE501</t>
  </si>
  <si>
    <t>Commerce de véhicules automobiles</t>
  </si>
  <si>
    <t>451</t>
  </si>
  <si>
    <t>4519</t>
  </si>
  <si>
    <t>Commerce d'autres véhicules automobiles</t>
  </si>
  <si>
    <t>4520</t>
  </si>
  <si>
    <t>Entretien et réparation de véhicules automobiles</t>
  </si>
  <si>
    <t>DE502</t>
  </si>
  <si>
    <t>452</t>
  </si>
  <si>
    <t>4531</t>
  </si>
  <si>
    <t>DE503</t>
  </si>
  <si>
    <t>Commerce d'équipements automobiles</t>
  </si>
  <si>
    <t>453</t>
  </si>
  <si>
    <t>4532</t>
  </si>
  <si>
    <t xml:space="preserve">Commerce de détail d'équipements de véhicules automobiles                                                                                                 </t>
  </si>
  <si>
    <t>4540</t>
  </si>
  <si>
    <t>DE50</t>
  </si>
  <si>
    <t>Commerce et réparation de véhicules automobiles et motocycles, vente de carburants</t>
  </si>
  <si>
    <t>45+473</t>
  </si>
  <si>
    <t>4611</t>
  </si>
  <si>
    <t>Intermédiaires du commerce en matières premières agricoles, animaux vivants, matières premières textiles et produits semi-finis</t>
  </si>
  <si>
    <t>DE511</t>
  </si>
  <si>
    <t>Intermédiaires de commerce</t>
  </si>
  <si>
    <t>461</t>
  </si>
  <si>
    <t>4612</t>
  </si>
  <si>
    <t>Intermédiaires du commerce en combustibles, métaux, minéraux et produits chimiques</t>
  </si>
  <si>
    <t>4613</t>
  </si>
  <si>
    <t>Intermédiaires du commerce en bois et matériaux de construction</t>
  </si>
  <si>
    <t>4614</t>
  </si>
  <si>
    <t>Intermédiaires du commerce en machines, équipements industriels, navires et avions</t>
  </si>
  <si>
    <t>4615</t>
  </si>
  <si>
    <t>Intermédiaires du commerce en meubles, articles de ménage et quincaillerie</t>
  </si>
  <si>
    <t>4616</t>
  </si>
  <si>
    <t>Intermédiaires du commerce en textiles, habillement, fourrures, chaussures et articles en cuir</t>
  </si>
  <si>
    <t>4617</t>
  </si>
  <si>
    <t>Intermédiaires du commerce en denrées, boissons et tabac</t>
  </si>
  <si>
    <t>4618</t>
  </si>
  <si>
    <t xml:space="preserve">Intermédiaires spécialisés dans le commerce d'autres produits spécifiques                                                               </t>
  </si>
  <si>
    <t>4619</t>
  </si>
  <si>
    <t>Intermédiaires du commerce en produits divers</t>
  </si>
  <si>
    <t>4621</t>
  </si>
  <si>
    <t>Commerce de gros de céréales, de tabac non manufacturé, de semences et d'aliments pour le bétail</t>
  </si>
  <si>
    <t>PU3101</t>
  </si>
  <si>
    <t>DE512</t>
  </si>
  <si>
    <t>Commerce de gros de produits agricoles et animaux vivants</t>
  </si>
  <si>
    <t>462</t>
  </si>
  <si>
    <t>4622</t>
  </si>
  <si>
    <t>Commerce de gros de fleurs et de plantes</t>
  </si>
  <si>
    <t>4623</t>
  </si>
  <si>
    <t>Commerce de gros d'animaux vivants</t>
  </si>
  <si>
    <t>4624</t>
  </si>
  <si>
    <t>Commerce de gros de cuirs et de peaux</t>
  </si>
  <si>
    <t>4631</t>
  </si>
  <si>
    <t>Commerce de gros de fruits et de légumes</t>
  </si>
  <si>
    <t>DE513</t>
  </si>
  <si>
    <t>Commerce de gros de produits alimentaires, de boissons et de tabac</t>
  </si>
  <si>
    <t>463</t>
  </si>
  <si>
    <t>4632</t>
  </si>
  <si>
    <t>Commerce de gros de viandes et de produits à base de viande</t>
  </si>
  <si>
    <t>4633</t>
  </si>
  <si>
    <t>Commerce de gros de produits laitiers, oeufs, huiles et matières grasses comestibles</t>
  </si>
  <si>
    <t>4634</t>
  </si>
  <si>
    <t>Commerce de gros de boissons</t>
  </si>
  <si>
    <t>4635</t>
  </si>
  <si>
    <t>Commerce de gros de produits à base de tabac</t>
  </si>
  <si>
    <t>4636</t>
  </si>
  <si>
    <t>Commerce de gros de sucre, de chocolat et de confiserie</t>
  </si>
  <si>
    <t>4637</t>
  </si>
  <si>
    <t>Commerce de gros de café, de thé, de cacao et d'épices</t>
  </si>
  <si>
    <t>4638</t>
  </si>
  <si>
    <t>Commerce de gros d'autres produits alimentaires, y compris poissons, crustacés et mollusques</t>
  </si>
  <si>
    <t>4639</t>
  </si>
  <si>
    <t>Commerce de gros non spécialisé de denrées, boissons et tabac</t>
  </si>
  <si>
    <t>4641</t>
  </si>
  <si>
    <t>Commerce de gros de textiles</t>
  </si>
  <si>
    <t>DE514A</t>
  </si>
  <si>
    <t>Commerce de gros de textiles, habillement et chaussures</t>
  </si>
  <si>
    <t>4641+4642</t>
  </si>
  <si>
    <t>4642</t>
  </si>
  <si>
    <t xml:space="preserve">Commerce de gros d'habillement et de chaussures </t>
  </si>
  <si>
    <t>4643</t>
  </si>
  <si>
    <t xml:space="preserve">Commerce de gros d'appareils électroménagers                                                                                    </t>
  </si>
  <si>
    <t>DE514B</t>
  </si>
  <si>
    <t>Commerce de gros de meubles et appareils électroménagers</t>
  </si>
  <si>
    <t>4643+46494</t>
  </si>
  <si>
    <t>4644</t>
  </si>
  <si>
    <t>DE514D</t>
  </si>
  <si>
    <t>Commerce de gros d'autres produits de consommation</t>
  </si>
  <si>
    <t>4644+4647+4648+4649-46494</t>
  </si>
  <si>
    <t>4645</t>
  </si>
  <si>
    <t>Commerce de gros de parfumerie et de produits de beauté</t>
  </si>
  <si>
    <t>DE514C</t>
  </si>
  <si>
    <t>Commerce de gros de produits pharmaceutiques et de beauté</t>
  </si>
  <si>
    <t>4645+4646</t>
  </si>
  <si>
    <t>4646</t>
  </si>
  <si>
    <t>Commerce de gros de produits pharmaceutiques</t>
  </si>
  <si>
    <t>4647</t>
  </si>
  <si>
    <t>Commerce de gros de mobilier domestique, de tapis et d'appareils d'éclairage</t>
  </si>
  <si>
    <t>4648</t>
  </si>
  <si>
    <t>Commerce de gros d'articles d'horlogerie et de bijouterie</t>
  </si>
  <si>
    <t>4649</t>
  </si>
  <si>
    <t>Commerce de gros d'autres biens domestiques</t>
  </si>
  <si>
    <t>4651</t>
  </si>
  <si>
    <t>Commerce de gros d'ordinateurs, d'équipements informatiques périphériques et de logiciels</t>
  </si>
  <si>
    <t>DE518A</t>
  </si>
  <si>
    <t>Commerce de gros de machines et matériel de bureau</t>
  </si>
  <si>
    <t>4651+4665+4666</t>
  </si>
  <si>
    <t>4652</t>
  </si>
  <si>
    <t>Commerce de gros de composants et d'équipements électroniques et de télécommunication</t>
  </si>
  <si>
    <t>DE518</t>
  </si>
  <si>
    <t>Commerce de gros d'équipements industriels</t>
  </si>
  <si>
    <t>465+466</t>
  </si>
  <si>
    <t>4661</t>
  </si>
  <si>
    <t>Commerce de gros de matériel agricole</t>
  </si>
  <si>
    <t>4662</t>
  </si>
  <si>
    <t>Commerce de gros de machines-outils</t>
  </si>
  <si>
    <t>4663</t>
  </si>
  <si>
    <t>Commerce de gros de machines pour l'extraction, la construction et le génie civil</t>
  </si>
  <si>
    <t>4664</t>
  </si>
  <si>
    <t>Commerce de gros de machines pour l'industrie textile et l'habillement</t>
  </si>
  <si>
    <t>4665</t>
  </si>
  <si>
    <t>Commerce de gros de mobilier de bureau</t>
  </si>
  <si>
    <t>4666</t>
  </si>
  <si>
    <t>Commerce de gros d'autres machines et équipements de bureau</t>
  </si>
  <si>
    <t>4669</t>
  </si>
  <si>
    <t>Commerce de gros d'autres machines et équipements</t>
  </si>
  <si>
    <t>DE5187</t>
  </si>
  <si>
    <t>Commerce de gros d'autres machines pour l'industrie et le commerce</t>
  </si>
  <si>
    <t>4671</t>
  </si>
  <si>
    <t>Commerce de gros de combustibles solides, liquides et gazeux et de produits annexes</t>
  </si>
  <si>
    <t>DE515A</t>
  </si>
  <si>
    <t>Commerce de gros de combustibles, métaux et minerais</t>
  </si>
  <si>
    <t>4671+4672</t>
  </si>
  <si>
    <t>4672</t>
  </si>
  <si>
    <t>Commerce de gros de minerais et de métaux</t>
  </si>
  <si>
    <t>4673</t>
  </si>
  <si>
    <t>Commerce de gros de bois, de matériaux de construction et d'appareils sanitaires</t>
  </si>
  <si>
    <t>DE5153</t>
  </si>
  <si>
    <t>Commerce de gros de bois, peintures, vernis et matériaux de construction</t>
  </si>
  <si>
    <t>4674</t>
  </si>
  <si>
    <t>Commerce de gros de quincaillerie et de fournitures pour plomberie et chauffage</t>
  </si>
  <si>
    <t>DE515B</t>
  </si>
  <si>
    <t>Commerce de gros d'autres produits intermédiaires</t>
  </si>
  <si>
    <t>4674+4675+4676</t>
  </si>
  <si>
    <t>4675</t>
  </si>
  <si>
    <t>Commerce de gros de produits chimiques</t>
  </si>
  <si>
    <t>4676</t>
  </si>
  <si>
    <t>4677</t>
  </si>
  <si>
    <t>Commerce de gros de déchets et de débris</t>
  </si>
  <si>
    <t>DE515</t>
  </si>
  <si>
    <t>Commerce de gros de produits intermédiaires, déchets et débris</t>
  </si>
  <si>
    <t>467</t>
  </si>
  <si>
    <t>4690</t>
  </si>
  <si>
    <t>Commerce de gros non spécialisé</t>
  </si>
  <si>
    <t>DE519</t>
  </si>
  <si>
    <t>Autres commerces de gros</t>
  </si>
  <si>
    <t>469</t>
  </si>
  <si>
    <t>4711</t>
  </si>
  <si>
    <t>Commerce de détail en magasin non spécialisé à prédominance alimentaire</t>
  </si>
  <si>
    <t>PU3102</t>
  </si>
  <si>
    <t>DE5211</t>
  </si>
  <si>
    <t>Commerce de détail alimentaire non spécialisé</t>
  </si>
  <si>
    <t>4719</t>
  </si>
  <si>
    <t>Autres commerces de détail en magasin non spécialisé</t>
  </si>
  <si>
    <t>4721</t>
  </si>
  <si>
    <t>Commerce de détail de fruits et de légumes en magasin spécialisé</t>
  </si>
  <si>
    <t>DE522</t>
  </si>
  <si>
    <t>Commerce de détail alimentaire en magasins spécialisés</t>
  </si>
  <si>
    <t>472</t>
  </si>
  <si>
    <t>4722</t>
  </si>
  <si>
    <t>Commerce de détail de viandes et de produits à base de viande en magasin spécialisé</t>
  </si>
  <si>
    <t>4723</t>
  </si>
  <si>
    <t>Commerce de détail de poissons, crustacés et mollusques en magasin spécialisé</t>
  </si>
  <si>
    <t>4724</t>
  </si>
  <si>
    <t>Commerce de détail de pain, de pâtisserie et de confiserie en magasin spécialisé</t>
  </si>
  <si>
    <t>4725</t>
  </si>
  <si>
    <t>Commerce de détail de boissons en magasin spécialisé</t>
  </si>
  <si>
    <t>4726</t>
  </si>
  <si>
    <t>Commerce de détail de produits à base de tabac en magasin spécialisé</t>
  </si>
  <si>
    <t>4730</t>
  </si>
  <si>
    <t>Commerce de détail de carburants automobiles en magasin spécialisé</t>
  </si>
  <si>
    <t>4741</t>
  </si>
  <si>
    <t>Commerce de détail d'ordinateurs, d'unités périphériques et de logiciels en magasin spécialisé</t>
  </si>
  <si>
    <t>DE524A</t>
  </si>
  <si>
    <t>Autres commerces de détail spécialisés</t>
  </si>
  <si>
    <t>4741+4742+4753+4764+4765+47761+47762+4777+4778</t>
  </si>
  <si>
    <t>4742</t>
  </si>
  <si>
    <t>Commerce de détail de matériels de télécommunication en magasin spécialisé</t>
  </si>
  <si>
    <t>4743</t>
  </si>
  <si>
    <t>Commerce de détail de matériels audio-vidéo en magasin spécialisé</t>
  </si>
  <si>
    <t>DE5245</t>
  </si>
  <si>
    <t>Commerce de détail d'électroménager et audio-vidéo</t>
  </si>
  <si>
    <t>4754+4743+4763</t>
  </si>
  <si>
    <t>4751</t>
  </si>
  <si>
    <t>Commerce de détail de textiles en magasin spécialisé</t>
  </si>
  <si>
    <t>DE5241</t>
  </si>
  <si>
    <t>Commerce de détail de textiles</t>
  </si>
  <si>
    <t>4752</t>
  </si>
  <si>
    <t>Commerce de détail de quincaillerie, de peintures et de verres en magasin spécialisé</t>
  </si>
  <si>
    <t>DE5247</t>
  </si>
  <si>
    <t>Commerce de détail de livres, journaux et papeterie</t>
  </si>
  <si>
    <t>4761+4762</t>
  </si>
  <si>
    <t>4753</t>
  </si>
  <si>
    <t>Commerce de détail de tapis, de moquettes et de revêtements de murs et de sols en magasin spécialisé</t>
  </si>
  <si>
    <t>4754</t>
  </si>
  <si>
    <t>Commerce de détail d'appareils électroménagers en magasin spécialisé</t>
  </si>
  <si>
    <t>4759</t>
  </si>
  <si>
    <t>Commerce de détail de meubles, d'appareils d'éclairage et d'autres articles de ménage en magasin spécialisé</t>
  </si>
  <si>
    <t>DE5244</t>
  </si>
  <si>
    <t>Commerce de détail de meubles et équipements du foyer</t>
  </si>
  <si>
    <t>4761</t>
  </si>
  <si>
    <t>Commerce de détail de livres en magasin spécialisé</t>
  </si>
  <si>
    <t>4762</t>
  </si>
  <si>
    <t>Commerce de détail de journaux et de papeterie en magasin spécialisé</t>
  </si>
  <si>
    <t>4763</t>
  </si>
  <si>
    <t>Commerce de détail d'enregistrements musicaux et vidéo en magasin spécialisé</t>
  </si>
  <si>
    <t>4764</t>
  </si>
  <si>
    <t>Commerce de détail d'articles de sport en magasin spécialisé</t>
  </si>
  <si>
    <t>4765</t>
  </si>
  <si>
    <t>Commerce de détail de jeux et de jouets en magasin spécialisé</t>
  </si>
  <si>
    <t>4771</t>
  </si>
  <si>
    <t>Commerce de détail d'habillement en magasin spécialisé</t>
  </si>
  <si>
    <t>DE5242</t>
  </si>
  <si>
    <t>Commerce de détail d'habillement</t>
  </si>
  <si>
    <t>4772</t>
  </si>
  <si>
    <t>Commerce de détail de chaussures et d'articles en cuir en magasin spécialisé</t>
  </si>
  <si>
    <t>DE5243</t>
  </si>
  <si>
    <t>Commerce de détail de chaussures et articles en cuir</t>
  </si>
  <si>
    <t>4773</t>
  </si>
  <si>
    <t>Commerce de détail de produits pharmaceutiques en magasin spécialisé</t>
  </si>
  <si>
    <t>DE5231</t>
  </si>
  <si>
    <t>Pharmacies</t>
  </si>
  <si>
    <t>4774</t>
  </si>
  <si>
    <t>Commerce de détail d'articles médicaux et orthopédiques en magasin spécialisé</t>
  </si>
  <si>
    <t>DE523</t>
  </si>
  <si>
    <t>Commerce de détail de produits pharmaceutiques, d'articles de parfumerie et de produits de beauté</t>
  </si>
  <si>
    <t>4773+4774+4775</t>
  </si>
  <si>
    <t>4775</t>
  </si>
  <si>
    <t>Commerce de détail de parfumerie et de produits de beauté en magasin spécialisé</t>
  </si>
  <si>
    <t>4776</t>
  </si>
  <si>
    <t>Commerce de détail de fleurs, de plantes, de graines, d'engrais, d'animaux de compagnie et d'aliments pour ces animaux en magasin spécialisé</t>
  </si>
  <si>
    <t>4777</t>
  </si>
  <si>
    <t>Commerce de détail d'articles d'horlogerie et de bijouterie en magasin spécialisé</t>
  </si>
  <si>
    <t>4778</t>
  </si>
  <si>
    <t>Autres commerces de détail de biens neufs en magasin spécialisé</t>
  </si>
  <si>
    <t>4779</t>
  </si>
  <si>
    <t>Commerce de détail d'antiquités et de biens d'occasion en magasin</t>
  </si>
  <si>
    <t>DE525A</t>
  </si>
  <si>
    <t>Autres commerces de détail</t>
  </si>
  <si>
    <t>4779+478+479+952</t>
  </si>
  <si>
    <t>4781</t>
  </si>
  <si>
    <t>Commerce de détail alimentaire sur éventaires et marchés</t>
  </si>
  <si>
    <t>4782</t>
  </si>
  <si>
    <t>Commerce de détail de textiles, d'habillement et de chaussures sur éventaires et marchés</t>
  </si>
  <si>
    <t>4789</t>
  </si>
  <si>
    <t>Autres commerces de détail sur éventaires et marchés</t>
  </si>
  <si>
    <t>4791</t>
  </si>
  <si>
    <t>Vente à distance</t>
  </si>
  <si>
    <t>4799</t>
  </si>
  <si>
    <t>Autres commerces de détail hors magasin, éventaires ou marchés</t>
  </si>
  <si>
    <t>4910</t>
  </si>
  <si>
    <t>Transport ferroviaire de voyageurs autre qu'urbain et suburbain</t>
  </si>
  <si>
    <t>PU3301</t>
  </si>
  <si>
    <t>DE60</t>
  </si>
  <si>
    <t>Transports terrestres</t>
  </si>
  <si>
    <t>49</t>
  </si>
  <si>
    <t>4920</t>
  </si>
  <si>
    <t>Transports ferroviaires de fret</t>
  </si>
  <si>
    <t>4931</t>
  </si>
  <si>
    <t>Transports urbains et suburbains de voyageurs</t>
  </si>
  <si>
    <t>DE602</t>
  </si>
  <si>
    <t>Transports urbains et routiers</t>
  </si>
  <si>
    <t>493+494</t>
  </si>
  <si>
    <t>4932</t>
  </si>
  <si>
    <t>Transports de voyageurs par taxis</t>
  </si>
  <si>
    <t>4939</t>
  </si>
  <si>
    <t>Autres transports terrestres de voyageurs n.c.a.</t>
  </si>
  <si>
    <t>4941</t>
  </si>
  <si>
    <t>Transports routiers de fret</t>
  </si>
  <si>
    <t>DE6024</t>
  </si>
  <si>
    <t>Transports routiers de marchandises et déménagements</t>
  </si>
  <si>
    <t>494</t>
  </si>
  <si>
    <t>4942</t>
  </si>
  <si>
    <t>Services de déménagement</t>
  </si>
  <si>
    <t>4950</t>
  </si>
  <si>
    <t>Transports par conduites</t>
  </si>
  <si>
    <t>5010</t>
  </si>
  <si>
    <t>Transports maritimes et côtiers de passagers</t>
  </si>
  <si>
    <t>DE61</t>
  </si>
  <si>
    <t>Transports par eau</t>
  </si>
  <si>
    <t>50</t>
  </si>
  <si>
    <t>5020</t>
  </si>
  <si>
    <t>Transports maritimes et côtiers de fret</t>
  </si>
  <si>
    <t>5030</t>
  </si>
  <si>
    <t>Transports fluviaux de passagers</t>
  </si>
  <si>
    <t>5040</t>
  </si>
  <si>
    <t>Transports fluviaux de fret</t>
  </si>
  <si>
    <t>5110</t>
  </si>
  <si>
    <t>Transports aériens de passagers</t>
  </si>
  <si>
    <t>DE62</t>
  </si>
  <si>
    <t>Transports aériens</t>
  </si>
  <si>
    <t>51</t>
  </si>
  <si>
    <t>5121</t>
  </si>
  <si>
    <t>Transports aériens de fret</t>
  </si>
  <si>
    <t>5122</t>
  </si>
  <si>
    <t>Transports spatiaux</t>
  </si>
  <si>
    <t>5210</t>
  </si>
  <si>
    <t>Entreposage et stockage</t>
  </si>
  <si>
    <t>DE63</t>
  </si>
  <si>
    <t>Auxiliaires de transport</t>
  </si>
  <si>
    <t>52+79</t>
  </si>
  <si>
    <t>5221</t>
  </si>
  <si>
    <t>Services auxiliaires des transports terrestres</t>
  </si>
  <si>
    <t>5222</t>
  </si>
  <si>
    <t>Services auxiliaires des transports par eau</t>
  </si>
  <si>
    <t>5223</t>
  </si>
  <si>
    <t>Services auxiliaires des transports aériens</t>
  </si>
  <si>
    <t>5224</t>
  </si>
  <si>
    <t>Manutention</t>
  </si>
  <si>
    <t>5229</t>
  </si>
  <si>
    <t>Autres services auxiliaires des transports</t>
  </si>
  <si>
    <t>DE634</t>
  </si>
  <si>
    <t>Organisation du transport de fret</t>
  </si>
  <si>
    <t>5310</t>
  </si>
  <si>
    <t>Activités de poste dans le cadre d'une obligation de service universel</t>
  </si>
  <si>
    <t>PU3302</t>
  </si>
  <si>
    <t>Postes et télécommunications</t>
  </si>
  <si>
    <t>61+53</t>
  </si>
  <si>
    <t>5320</t>
  </si>
  <si>
    <t>Autres activités de poste et de courrier</t>
  </si>
  <si>
    <t>5510</t>
  </si>
  <si>
    <t>Hôtels et hébergement similaire</t>
  </si>
  <si>
    <t>PU320</t>
  </si>
  <si>
    <t>DE551A</t>
  </si>
  <si>
    <t>Hôtels et hébergements</t>
  </si>
  <si>
    <t>551+552+553+559</t>
  </si>
  <si>
    <t>5520</t>
  </si>
  <si>
    <t>Hébergement touristique et autre hébergement de courte durée</t>
  </si>
  <si>
    <t>5530</t>
  </si>
  <si>
    <t>Terrains de camping et parcs pour caravanes ou véhicules de loisirs</t>
  </si>
  <si>
    <t>5590</t>
  </si>
  <si>
    <t>Autres hébergements</t>
  </si>
  <si>
    <t>5610</t>
  </si>
  <si>
    <t>Restaurants et services de restauration mobile</t>
  </si>
  <si>
    <t>DE553A</t>
  </si>
  <si>
    <t>Restaurants et cafés</t>
  </si>
  <si>
    <t>561+563</t>
  </si>
  <si>
    <t>5621</t>
  </si>
  <si>
    <t>Services des traiteurs</t>
  </si>
  <si>
    <t>DE555</t>
  </si>
  <si>
    <t>Cantines et traiteurs</t>
  </si>
  <si>
    <t>562</t>
  </si>
  <si>
    <t>5629</t>
  </si>
  <si>
    <t>Autres services de restauration</t>
  </si>
  <si>
    <t>5630</t>
  </si>
  <si>
    <t>Débits de boissons</t>
  </si>
  <si>
    <t>5811</t>
  </si>
  <si>
    <t>Édition de livres</t>
  </si>
  <si>
    <t>PU3405</t>
  </si>
  <si>
    <t>DE9602</t>
  </si>
  <si>
    <t>Edition</t>
  </si>
  <si>
    <t>58</t>
  </si>
  <si>
    <t>5812</t>
  </si>
  <si>
    <t>Édition de répertoires et de fichiers d'adresses</t>
  </si>
  <si>
    <t>5813</t>
  </si>
  <si>
    <t>Édition de journaux</t>
  </si>
  <si>
    <t>5814</t>
  </si>
  <si>
    <t>Édition de revues et de périodiques</t>
  </si>
  <si>
    <t>5819</t>
  </si>
  <si>
    <t>Autres activités d'édition</t>
  </si>
  <si>
    <t>5821</t>
  </si>
  <si>
    <t>Édition de jeux électroniques</t>
  </si>
  <si>
    <t>DE722</t>
  </si>
  <si>
    <t>Edition de programmes informatiques et de logiciels</t>
  </si>
  <si>
    <t>6201+582</t>
  </si>
  <si>
    <t>5829</t>
  </si>
  <si>
    <t>Édition d'autres logiciels</t>
  </si>
  <si>
    <t>5911</t>
  </si>
  <si>
    <t>Production de films cinématographiques, de vidéo et de programmes de télévision</t>
  </si>
  <si>
    <t>DE9603</t>
  </si>
  <si>
    <t>Activités radio, télévision, vidéo et cinématographiques</t>
  </si>
  <si>
    <t>59+60+639</t>
  </si>
  <si>
    <t>5912</t>
  </si>
  <si>
    <t>Post-production de films cinématographiques, de vidéo et de programmes de télévision</t>
  </si>
  <si>
    <t>5913</t>
  </si>
  <si>
    <t>Distribution de films cinématographiques, de vidéo et de programmes de télévision</t>
  </si>
  <si>
    <t>5914</t>
  </si>
  <si>
    <t>Projection de films cinématographiques</t>
  </si>
  <si>
    <t>5920</t>
  </si>
  <si>
    <t>Enregistrement sonore et édition musicale</t>
  </si>
  <si>
    <t>DE221</t>
  </si>
  <si>
    <t>581+59203</t>
  </si>
  <si>
    <t>6010</t>
  </si>
  <si>
    <t>Diffusion de programmes radio</t>
  </si>
  <si>
    <t>6020</t>
  </si>
  <si>
    <t>Programmation de télévision et télédiffusion</t>
  </si>
  <si>
    <t>6110</t>
  </si>
  <si>
    <t>Télécommunications filaires</t>
  </si>
  <si>
    <t>DE9601</t>
  </si>
  <si>
    <t>Télécommunications</t>
  </si>
  <si>
    <t>6120</t>
  </si>
  <si>
    <t>Télécommunications sans fil</t>
  </si>
  <si>
    <t>6130</t>
  </si>
  <si>
    <t>Télécommunications par satellite</t>
  </si>
  <si>
    <t>6190</t>
  </si>
  <si>
    <t>Autres activités de télécommunication</t>
  </si>
  <si>
    <t>6201</t>
  </si>
  <si>
    <t>Programmation informatique</t>
  </si>
  <si>
    <t>6202</t>
  </si>
  <si>
    <t>Conseil informatique</t>
  </si>
  <si>
    <t>DE72</t>
  </si>
  <si>
    <t>Activités informatiques</t>
  </si>
  <si>
    <t>62+631+9511+582</t>
  </si>
  <si>
    <t>6203</t>
  </si>
  <si>
    <t>Gestion d'installations informatiques</t>
  </si>
  <si>
    <t>6209</t>
  </si>
  <si>
    <t>Autres activités informatiques</t>
  </si>
  <si>
    <t>6311</t>
  </si>
  <si>
    <t>Traitement de données, hébergement et activités connexes</t>
  </si>
  <si>
    <t>DE9604</t>
  </si>
  <si>
    <t>Activités de services informatiques</t>
  </si>
  <si>
    <t>62+631</t>
  </si>
  <si>
    <t>6312</t>
  </si>
  <si>
    <t>Portails Internet</t>
  </si>
  <si>
    <t>6391</t>
  </si>
  <si>
    <t>Activités des agences de presse</t>
  </si>
  <si>
    <t>6399</t>
  </si>
  <si>
    <t>Autres services d'information n.c.a.</t>
  </si>
  <si>
    <t>6411</t>
  </si>
  <si>
    <t>Activités de banque centrale</t>
  </si>
  <si>
    <t>PU420</t>
  </si>
  <si>
    <t>Secteur financier</t>
  </si>
  <si>
    <t>64</t>
  </si>
  <si>
    <t>6419</t>
  </si>
  <si>
    <t>Autres intermédiations monétaires</t>
  </si>
  <si>
    <t>6420</t>
  </si>
  <si>
    <t>Activités des sociétés holding</t>
  </si>
  <si>
    <t>6430</t>
  </si>
  <si>
    <t>Fonds de placement et entités financières similaires</t>
  </si>
  <si>
    <t>6491</t>
  </si>
  <si>
    <t>Crédit-bail</t>
  </si>
  <si>
    <t>6492</t>
  </si>
  <si>
    <t>Autre distribution de crédit</t>
  </si>
  <si>
    <t>6499</t>
  </si>
  <si>
    <t>Autres activités des services financiers, hors assurance et caisses de retraite n.c.a.</t>
  </si>
  <si>
    <t>6511</t>
  </si>
  <si>
    <t>Assurance vie</t>
  </si>
  <si>
    <t>PU425</t>
  </si>
  <si>
    <t>Secteur des assurances</t>
  </si>
  <si>
    <t>6512</t>
  </si>
  <si>
    <t>Assurance non-vie</t>
  </si>
  <si>
    <t>6520</t>
  </si>
  <si>
    <t>Réassurance</t>
  </si>
  <si>
    <t>6530</t>
  </si>
  <si>
    <t>Caisses de retraite</t>
  </si>
  <si>
    <t>6611</t>
  </si>
  <si>
    <t>Administration de marchés financiers</t>
  </si>
  <si>
    <t>PU3401</t>
  </si>
  <si>
    <t>DE671</t>
  </si>
  <si>
    <t>Auxiliaires financiers</t>
  </si>
  <si>
    <t>661</t>
  </si>
  <si>
    <t>6612</t>
  </si>
  <si>
    <t>Courtage de valeurs mobilières et de marchandises</t>
  </si>
  <si>
    <t>6619</t>
  </si>
  <si>
    <t>Autres activités auxiliaires de services financiers, hors assurance et caisses de retraite</t>
  </si>
  <si>
    <t>6621</t>
  </si>
  <si>
    <t>Évaluation des risques et dommages</t>
  </si>
  <si>
    <t>DE672</t>
  </si>
  <si>
    <t>Auxiliaires d'assurance</t>
  </si>
  <si>
    <t>662</t>
  </si>
  <si>
    <t>6622</t>
  </si>
  <si>
    <t>Activités des agents et courtiers d'assurances</t>
  </si>
  <si>
    <t>6629</t>
  </si>
  <si>
    <t>Autres activités auxiliaires d'assurance et de caisses de retraite</t>
  </si>
  <si>
    <t>6630</t>
  </si>
  <si>
    <t>Gestion de fonds</t>
  </si>
  <si>
    <t>Auxiliaires financiers et d'assurances</t>
  </si>
  <si>
    <t>66</t>
  </si>
  <si>
    <t>6810</t>
  </si>
  <si>
    <t>Activités des marchands de biens immobiliers</t>
  </si>
  <si>
    <t>PU3402</t>
  </si>
  <si>
    <t>DE701</t>
  </si>
  <si>
    <t>Activités immobilières pour compte propre</t>
  </si>
  <si>
    <t>411+681</t>
  </si>
  <si>
    <t>6820</t>
  </si>
  <si>
    <t>Location et exploitation de biens immobiliers propres ou loués</t>
  </si>
  <si>
    <t>DE702</t>
  </si>
  <si>
    <t>Location de biens immobiliers propres</t>
  </si>
  <si>
    <t>682</t>
  </si>
  <si>
    <t>6831</t>
  </si>
  <si>
    <t>Agences immobilières</t>
  </si>
  <si>
    <t>DE703</t>
  </si>
  <si>
    <t>Activités immobilières pour compte de tiers</t>
  </si>
  <si>
    <t>683+811</t>
  </si>
  <si>
    <t>6832</t>
  </si>
  <si>
    <t>Administration de biens immobiliers pour compte de tiers</t>
  </si>
  <si>
    <t>6910</t>
  </si>
  <si>
    <t>Activités juridiques</t>
  </si>
  <si>
    <t>DE7411</t>
  </si>
  <si>
    <t>691</t>
  </si>
  <si>
    <t>6920</t>
  </si>
  <si>
    <t>Activités comptables</t>
  </si>
  <si>
    <t>DE7412</t>
  </si>
  <si>
    <t>692</t>
  </si>
  <si>
    <t>7010</t>
  </si>
  <si>
    <t>Activités des sièges sociaux</t>
  </si>
  <si>
    <t>DE7415</t>
  </si>
  <si>
    <t>Centres de coordination</t>
  </si>
  <si>
    <t>701</t>
  </si>
  <si>
    <t>7021</t>
  </si>
  <si>
    <t>Conseil en relations publiques et en communication</t>
  </si>
  <si>
    <t>DE741A</t>
  </si>
  <si>
    <t>Etudes de marché et conseils en gestion</t>
  </si>
  <si>
    <t>732+702</t>
  </si>
  <si>
    <t>7022</t>
  </si>
  <si>
    <t>Conseil pour les affaires et autres conseils de gestion</t>
  </si>
  <si>
    <t>7111</t>
  </si>
  <si>
    <t>Activités d'architecture</t>
  </si>
  <si>
    <t>DE742A</t>
  </si>
  <si>
    <t>Services techniques</t>
  </si>
  <si>
    <t>711+712</t>
  </si>
  <si>
    <t>7112</t>
  </si>
  <si>
    <t>Activités d'ingénierie et de conseils techniques</t>
  </si>
  <si>
    <t>7120</t>
  </si>
  <si>
    <t>Activités de contrôle et analyses techniques</t>
  </si>
  <si>
    <t>7211</t>
  </si>
  <si>
    <t>Recherche-développement en biotechnologie</t>
  </si>
  <si>
    <t>DE73</t>
  </si>
  <si>
    <t>Recherche et développement</t>
  </si>
  <si>
    <t>72</t>
  </si>
  <si>
    <t>7219</t>
  </si>
  <si>
    <t>Recherche-développement en autres sciences physiques et naturelles</t>
  </si>
  <si>
    <t>7220</t>
  </si>
  <si>
    <t>Recherche-développement en sciences humaines et sociales</t>
  </si>
  <si>
    <t>7311</t>
  </si>
  <si>
    <t>Activités des agences de publicité</t>
  </si>
  <si>
    <t>DE744</t>
  </si>
  <si>
    <t>Publicité</t>
  </si>
  <si>
    <t>731</t>
  </si>
  <si>
    <t>7312</t>
  </si>
  <si>
    <t>Régie publicitaire de médias</t>
  </si>
  <si>
    <t>7320</t>
  </si>
  <si>
    <t>Études de marché et sondages d'opinion</t>
  </si>
  <si>
    <t>7410</t>
  </si>
  <si>
    <t>Activités spécialisées de design</t>
  </si>
  <si>
    <t>DE746A</t>
  </si>
  <si>
    <t>Autres services aux entreprises</t>
  </si>
  <si>
    <t>80+82+74</t>
  </si>
  <si>
    <t>7420</t>
  </si>
  <si>
    <t>Activités photographiques</t>
  </si>
  <si>
    <t>DE7481</t>
  </si>
  <si>
    <t>742</t>
  </si>
  <si>
    <t>7430</t>
  </si>
  <si>
    <t>Traduction et interprétation</t>
  </si>
  <si>
    <t>7490</t>
  </si>
  <si>
    <t>Autres activités spécialisées, scientifiques et techniques n.c.a.</t>
  </si>
  <si>
    <t>7500</t>
  </si>
  <si>
    <t>Activités vétérinaires</t>
  </si>
  <si>
    <t>PU410</t>
  </si>
  <si>
    <t>DE851A</t>
  </si>
  <si>
    <t>Santé et services vétérinaires</t>
  </si>
  <si>
    <t>86+75</t>
  </si>
  <si>
    <t>7711</t>
  </si>
  <si>
    <t>Location et location-bail d'automobiles et d'autres véhicules automobiles légers (&lt; 3,5 tonnes)</t>
  </si>
  <si>
    <t>DE71</t>
  </si>
  <si>
    <t>Location sans opérateur</t>
  </si>
  <si>
    <t>77</t>
  </si>
  <si>
    <t>7712</t>
  </si>
  <si>
    <t>Location et location-bail de camions et d'autres véhicules automobiles lourds (&gt; 3,5 ton)</t>
  </si>
  <si>
    <t>7721</t>
  </si>
  <si>
    <t>7722</t>
  </si>
  <si>
    <t>Location de vidéocassettes et de disques vidéo</t>
  </si>
  <si>
    <t>7729</t>
  </si>
  <si>
    <t>Location et location-bail d'autres biens personnels et domestiques</t>
  </si>
  <si>
    <t>7731</t>
  </si>
  <si>
    <t>Location et location-bail de machines et d'équipements agricoles</t>
  </si>
  <si>
    <t>7732</t>
  </si>
  <si>
    <t>Location et location-bail de machines et d'équipements pour la construction</t>
  </si>
  <si>
    <t>7733</t>
  </si>
  <si>
    <t>7734</t>
  </si>
  <si>
    <t>Location et location-bail de matériels de transport par eau</t>
  </si>
  <si>
    <t>7735</t>
  </si>
  <si>
    <t>Location et location-bail de matériels de transport aérien</t>
  </si>
  <si>
    <t>7739</t>
  </si>
  <si>
    <t>7740</t>
  </si>
  <si>
    <t>Location-bail de propriété intellectuelle et de produits similaires, à l'exception des oeuvres soumises au droit d'auteur</t>
  </si>
  <si>
    <t>7810</t>
  </si>
  <si>
    <t>Activités des agences de placement de main-d'oeuvre</t>
  </si>
  <si>
    <t>DE745</t>
  </si>
  <si>
    <t>Sélection et fourniture de personnel</t>
  </si>
  <si>
    <t>78</t>
  </si>
  <si>
    <t>7820</t>
  </si>
  <si>
    <t>Activités des agences de travail temporaire</t>
  </si>
  <si>
    <t>7830</t>
  </si>
  <si>
    <t>Autre mise à disposition de ressources humaines</t>
  </si>
  <si>
    <t>7911</t>
  </si>
  <si>
    <t>Activités des agences de voyage</t>
  </si>
  <si>
    <t>7912</t>
  </si>
  <si>
    <t>Activités des voyagistes</t>
  </si>
  <si>
    <t>7990</t>
  </si>
  <si>
    <t>Autres services de réservation et activités connexes</t>
  </si>
  <si>
    <t>8010</t>
  </si>
  <si>
    <t>Activités de sécurité privée</t>
  </si>
  <si>
    <t>8020</t>
  </si>
  <si>
    <t>Activités liées aux systèmes de sécurité</t>
  </si>
  <si>
    <t>8030</t>
  </si>
  <si>
    <t>Activités d'enquête</t>
  </si>
  <si>
    <t>8110</t>
  </si>
  <si>
    <t>Activités combinées de soutien lié aux bâtiments</t>
  </si>
  <si>
    <t>8121</t>
  </si>
  <si>
    <t>Nettoyage courant des bâtiments</t>
  </si>
  <si>
    <t>DE74A</t>
  </si>
  <si>
    <t>Autres services fournis aux entreprises</t>
  </si>
  <si>
    <t>69+70+71+73+74+78+80+812+813+82+951-9511</t>
  </si>
  <si>
    <t>8122</t>
  </si>
  <si>
    <t>Autres activités de nettoyage des bâtiments; nettoyage industriel</t>
  </si>
  <si>
    <t>DE747</t>
  </si>
  <si>
    <t>Nettoyage industriel</t>
  </si>
  <si>
    <t>8129</t>
  </si>
  <si>
    <t>Autres activités de nettoyage</t>
  </si>
  <si>
    <t>8130</t>
  </si>
  <si>
    <t>Services d'aménagement paysager</t>
  </si>
  <si>
    <t>8211</t>
  </si>
  <si>
    <t>Services administratifs combinés de bureau</t>
  </si>
  <si>
    <t>8219</t>
  </si>
  <si>
    <t>Photocopie, préparation de documents et autres activités spécialisées de soutien de bureau</t>
  </si>
  <si>
    <t>8220</t>
  </si>
  <si>
    <t>Activités des centres d'appels</t>
  </si>
  <si>
    <t>8230</t>
  </si>
  <si>
    <t>8291</t>
  </si>
  <si>
    <t>Activités des agences de recouvrement de factures et des sociétés d'information financière sur la clientèle</t>
  </si>
  <si>
    <t>8292</t>
  </si>
  <si>
    <t>Activités de conditionnement</t>
  </si>
  <si>
    <t>8299</t>
  </si>
  <si>
    <t>Autres activités de soutien aux entreprises n.c.a.</t>
  </si>
  <si>
    <t>8411</t>
  </si>
  <si>
    <t>Administration publique générale</t>
  </si>
  <si>
    <t>PU450</t>
  </si>
  <si>
    <t>Ensemble des secteurs d'activité</t>
  </si>
  <si>
    <t>0+1+2+3+4+5+6+7+8+9-99</t>
  </si>
  <si>
    <t>8412</t>
  </si>
  <si>
    <t>Administration publique (tutelle) de la santé, de la formation, de la culture et des autres services sociaux, à l'exclusion de la sécurité sociale</t>
  </si>
  <si>
    <t>8413</t>
  </si>
  <si>
    <t>Administration publique (tutelle) des activités économiques</t>
  </si>
  <si>
    <t>8421</t>
  </si>
  <si>
    <t>Affaires étrangères</t>
  </si>
  <si>
    <t>8422</t>
  </si>
  <si>
    <t>Défense</t>
  </si>
  <si>
    <t>8423</t>
  </si>
  <si>
    <t>Justice</t>
  </si>
  <si>
    <t>8424</t>
  </si>
  <si>
    <t>Activités d'ordre public et de sécurité civile</t>
  </si>
  <si>
    <t>8425</t>
  </si>
  <si>
    <t>Services du feu</t>
  </si>
  <si>
    <t>8430</t>
  </si>
  <si>
    <t>Sécurité sociale obligatoire</t>
  </si>
  <si>
    <t>8510</t>
  </si>
  <si>
    <t>Enseignement maternel</t>
  </si>
  <si>
    <t>8520</t>
  </si>
  <si>
    <t>Enseignement primaire</t>
  </si>
  <si>
    <t>8531</t>
  </si>
  <si>
    <t>Enseignement secondaire général</t>
  </si>
  <si>
    <t>8532</t>
  </si>
  <si>
    <t>Enseignement secondaire technique, professionnel et spécialisé</t>
  </si>
  <si>
    <t>8541</t>
  </si>
  <si>
    <t>Enseignement post-secondaire non supérieur</t>
  </si>
  <si>
    <t>8542</t>
  </si>
  <si>
    <t>Enseignement supérieur</t>
  </si>
  <si>
    <t>8551</t>
  </si>
  <si>
    <t>Enseignement de disciplines sportives et d'activités de loisirs</t>
  </si>
  <si>
    <t>PU340</t>
  </si>
  <si>
    <t>DE804</t>
  </si>
  <si>
    <t>Services privés de formation (auto-écoles, formation permanente)</t>
  </si>
  <si>
    <t>855</t>
  </si>
  <si>
    <t>8552</t>
  </si>
  <si>
    <t>Enseignement culturel</t>
  </si>
  <si>
    <t>8553</t>
  </si>
  <si>
    <t>Enseignement de la conduite</t>
  </si>
  <si>
    <t>8559</t>
  </si>
  <si>
    <t>Enseignements divers</t>
  </si>
  <si>
    <t>8560</t>
  </si>
  <si>
    <t>Activités de soutien à l'enseignement</t>
  </si>
  <si>
    <t>8610</t>
  </si>
  <si>
    <t>Activités hospitalières</t>
  </si>
  <si>
    <t>8621</t>
  </si>
  <si>
    <t>Activités des médecins généralistes</t>
  </si>
  <si>
    <t>8622</t>
  </si>
  <si>
    <t>Activités des médecins spécialistes</t>
  </si>
  <si>
    <t>8623</t>
  </si>
  <si>
    <t>Pratique dentaire</t>
  </si>
  <si>
    <t>8690</t>
  </si>
  <si>
    <t>Autres activités pour la santé humaine</t>
  </si>
  <si>
    <t>8710</t>
  </si>
  <si>
    <t>Activités de soins infirmiers résidentiels</t>
  </si>
  <si>
    <t>DE853</t>
  </si>
  <si>
    <t>Action sociale</t>
  </si>
  <si>
    <t>87+88</t>
  </si>
  <si>
    <t>8720</t>
  </si>
  <si>
    <t>Activités de soins résidentiels pour personnes avec un handicap mental, un problème psychiatrique ou toxicodépendantes</t>
  </si>
  <si>
    <t>8730</t>
  </si>
  <si>
    <t>Activités de soins résidentiels pour personnes âgées ou avec un handicap moteur</t>
  </si>
  <si>
    <t>8790</t>
  </si>
  <si>
    <t>Autres activités sociales avec hébergement</t>
  </si>
  <si>
    <t>8810</t>
  </si>
  <si>
    <t>Action sociale sans hébergement pour personnes âgées et pour personnes avec un handicap moteur</t>
  </si>
  <si>
    <t>8891</t>
  </si>
  <si>
    <t>Action sociale sans hébergement pour jeunes enfants</t>
  </si>
  <si>
    <t>8899</t>
  </si>
  <si>
    <t>Autre action sociale sans hébergement n.c.a.</t>
  </si>
  <si>
    <t>9001</t>
  </si>
  <si>
    <t>Arts du spectacle vivant</t>
  </si>
  <si>
    <t>PU3404</t>
  </si>
  <si>
    <t>DE921A</t>
  </si>
  <si>
    <t>Audiovisuel et activités culturelles</t>
  </si>
  <si>
    <t>59+60+90+91</t>
  </si>
  <si>
    <t>9002</t>
  </si>
  <si>
    <t>Activités de soutien au spectacle vivant</t>
  </si>
  <si>
    <t>9003</t>
  </si>
  <si>
    <t>Création artistique</t>
  </si>
  <si>
    <t>9004</t>
  </si>
  <si>
    <t>Gestion de salles de spectacles</t>
  </si>
  <si>
    <t>9101</t>
  </si>
  <si>
    <t xml:space="preserve">Gestion des bibliothèques et des archives </t>
  </si>
  <si>
    <t>9102</t>
  </si>
  <si>
    <t>Gestion des musées</t>
  </si>
  <si>
    <t>9103</t>
  </si>
  <si>
    <t>Gestion des sites et monuments historiques et des attractions touristiques similaires</t>
  </si>
  <si>
    <t>9104</t>
  </si>
  <si>
    <t>Gestion des jardins botaniques et zoologiques et des réserves naturelles</t>
  </si>
  <si>
    <t>9200</t>
  </si>
  <si>
    <t>Organisation de jeux de hasard et d'argent</t>
  </si>
  <si>
    <t>DE926A</t>
  </si>
  <si>
    <t>Activités récréatives et sportives</t>
  </si>
  <si>
    <t>92+931+932</t>
  </si>
  <si>
    <t>9311</t>
  </si>
  <si>
    <t>Gestion d'installations sportives</t>
  </si>
  <si>
    <t>9312</t>
  </si>
  <si>
    <t>Activités de clubs de sports</t>
  </si>
  <si>
    <t>9313</t>
  </si>
  <si>
    <t>Activités des centres de culture physique</t>
  </si>
  <si>
    <t>9319</t>
  </si>
  <si>
    <t>Autres activités liées au sport</t>
  </si>
  <si>
    <t>9321</t>
  </si>
  <si>
    <t>Activités foraines, des parcs d'attractions et des parcs à thèmes</t>
  </si>
  <si>
    <t>9329</t>
  </si>
  <si>
    <t>Autres activités récréatives et de loisirs</t>
  </si>
  <si>
    <t>9411</t>
  </si>
  <si>
    <t>Activités des organisations patronales et économiques</t>
  </si>
  <si>
    <t>9412</t>
  </si>
  <si>
    <t>Activités des organisations professionnelles</t>
  </si>
  <si>
    <t>9420</t>
  </si>
  <si>
    <t>Activités des syndicats de salariés</t>
  </si>
  <si>
    <t>9491</t>
  </si>
  <si>
    <t>Activités des organisations religieuses et philosophiques</t>
  </si>
  <si>
    <t>9492</t>
  </si>
  <si>
    <t>Activités des organisations politiques</t>
  </si>
  <si>
    <t>9499</t>
  </si>
  <si>
    <t>Activités des organisations associatives n.c.a.</t>
  </si>
  <si>
    <t>9511</t>
  </si>
  <si>
    <t>Réparation d'ordinateurs et d'équipements périphériques</t>
  </si>
  <si>
    <t>9512</t>
  </si>
  <si>
    <t>Réparation d'équipements de communication</t>
  </si>
  <si>
    <t>9521</t>
  </si>
  <si>
    <t>Réparation de produits électroniques grand public</t>
  </si>
  <si>
    <t>Services personnels, activités récréatives, culturelles et sportives</t>
  </si>
  <si>
    <t>59+60+639+90+91+92+93+952+96+97</t>
  </si>
  <si>
    <t>9522</t>
  </si>
  <si>
    <t>Réparation d'appareils électroménagers et d'équipements pour la maison et le jardin</t>
  </si>
  <si>
    <t>9523</t>
  </si>
  <si>
    <t>Réparation de chaussures et d'articles en cuir</t>
  </si>
  <si>
    <t>9524</t>
  </si>
  <si>
    <t>Réparation de meubles et d'équipements du foyer</t>
  </si>
  <si>
    <t>9525</t>
  </si>
  <si>
    <t>Réparation d'articles d'horlogerie et de bijouterie</t>
  </si>
  <si>
    <t>9529</t>
  </si>
  <si>
    <t>Réparation d'autres biens personnels et domestiques</t>
  </si>
  <si>
    <t>9601</t>
  </si>
  <si>
    <t>Blanchisserie-teinturerie</t>
  </si>
  <si>
    <t>DE93</t>
  </si>
  <si>
    <t>Services personnels</t>
  </si>
  <si>
    <t>96</t>
  </si>
  <si>
    <t>9602</t>
  </si>
  <si>
    <t>Coiffure et soins de beauté</t>
  </si>
  <si>
    <t>9603</t>
  </si>
  <si>
    <t>Services funéraires</t>
  </si>
  <si>
    <t>9604</t>
  </si>
  <si>
    <t>Entretien corporel</t>
  </si>
  <si>
    <t>9609</t>
  </si>
  <si>
    <t>Autres services personnels n.c.a.</t>
  </si>
  <si>
    <t>9700</t>
  </si>
  <si>
    <t>Activités des ménages en tant qu'employeurs de personnel domestique</t>
  </si>
  <si>
    <t>9810</t>
  </si>
  <si>
    <t>Activités indifférenciées des ménages en tant que producteurs de biens pour usage propre</t>
  </si>
  <si>
    <t>9820</t>
  </si>
  <si>
    <t>Activités indifférenciées des ménages en tant que producteurs de services pour usage propre</t>
  </si>
  <si>
    <t>9900</t>
  </si>
  <si>
    <t>Nace</t>
  </si>
  <si>
    <t>Sect. PU</t>
  </si>
  <si>
    <t>Regroupement</t>
  </si>
  <si>
    <t>ENTREPRISE (NOM &amp; NUM) :</t>
  </si>
  <si>
    <t>Autres commerces de détail alimentaires en magasin spécialisé</t>
  </si>
  <si>
    <t>Activités des organisations et organismes extraterritoriaux</t>
  </si>
  <si>
    <r>
      <t>Fabrication de plaques, feuilles, tubes et profilés en matières plastique</t>
    </r>
    <r>
      <rPr>
        <sz val="12"/>
        <rFont val="Calibri"/>
        <family val="2"/>
      </rPr>
      <t>s</t>
    </r>
  </si>
  <si>
    <r>
      <t xml:space="preserve">Commerce de gros d'équipements de véhicules automobiles   </t>
    </r>
    <r>
      <rPr>
        <sz val="12"/>
        <color indexed="10"/>
        <rFont val="Calibri"/>
        <family val="2"/>
      </rPr>
      <t xml:space="preserve">                                                                                               </t>
    </r>
  </si>
  <si>
    <r>
      <t xml:space="preserve">Commerce, entretien et réparation de motocycles et de pièces et accessoires de motocycles    </t>
    </r>
    <r>
      <rPr>
        <sz val="12"/>
        <color indexed="8"/>
        <rFont val="Calibri"/>
        <family val="2"/>
      </rPr>
      <t xml:space="preserve">         </t>
    </r>
  </si>
  <si>
    <r>
      <t xml:space="preserve">Commerce de gros de porcelaine, de verrerie et de produits d'entretien     </t>
    </r>
    <r>
      <rPr>
        <sz val="12"/>
        <color indexed="8"/>
        <rFont val="Calibri"/>
        <family val="2"/>
      </rPr>
      <t xml:space="preserve">                                          </t>
    </r>
  </si>
  <si>
    <r>
      <t xml:space="preserve">Location et </t>
    </r>
    <r>
      <rPr>
        <sz val="12"/>
        <rFont val="Calibri"/>
        <family val="2"/>
      </rPr>
      <t>location</t>
    </r>
    <r>
      <rPr>
        <sz val="12"/>
        <color indexed="8"/>
        <rFont val="Calibri"/>
        <family val="2"/>
      </rPr>
      <t>-bail d'articles de loisirs et de sport</t>
    </r>
  </si>
  <si>
    <r>
      <t xml:space="preserve">Location et </t>
    </r>
    <r>
      <rPr>
        <sz val="12"/>
        <rFont val="Calibri"/>
        <family val="2"/>
      </rPr>
      <t>location-</t>
    </r>
    <r>
      <rPr>
        <sz val="12"/>
        <color indexed="8"/>
        <rFont val="Calibri"/>
        <family val="2"/>
      </rPr>
      <t>bail de machines de bureau et de matériel informatique</t>
    </r>
  </si>
  <si>
    <r>
      <t>Location et</t>
    </r>
    <r>
      <rPr>
        <sz val="12"/>
        <color indexed="12"/>
        <rFont val="Calibri"/>
        <family val="2"/>
      </rPr>
      <t xml:space="preserve"> </t>
    </r>
    <r>
      <rPr>
        <sz val="12"/>
        <rFont val="Calibri"/>
        <family val="2"/>
      </rPr>
      <t>location-</t>
    </r>
    <r>
      <rPr>
        <sz val="12"/>
        <color indexed="8"/>
        <rFont val="Calibri"/>
        <family val="2"/>
      </rPr>
      <t>bail d'autres machines, équipements et biens matériels n.c.a.</t>
    </r>
  </si>
  <si>
    <r>
      <t>Organisation de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 xml:space="preserve">salons professionnels </t>
    </r>
    <r>
      <rPr>
        <sz val="12"/>
        <color indexed="8"/>
        <rFont val="Calibri"/>
        <family val="2"/>
      </rPr>
      <t>et de congrès</t>
    </r>
  </si>
  <si>
    <t>b = -11,68</t>
  </si>
  <si>
    <t>a = +4,32</t>
  </si>
  <si>
    <t>c = +3,17</t>
  </si>
  <si>
    <t>d = -1,62</t>
  </si>
  <si>
    <t>e = -0,84</t>
  </si>
  <si>
    <t>k = + 23,24</t>
  </si>
  <si>
    <t>Constante</t>
  </si>
  <si>
    <t>Délais de paiement moyens clients*</t>
  </si>
  <si>
    <t>TVA à payer sur les ventes</t>
  </si>
  <si>
    <t>TVA déductible sur les achats</t>
  </si>
  <si>
    <t>Effets de commerce endossés</t>
  </si>
  <si>
    <t>9150</t>
  </si>
  <si>
    <t>9145</t>
  </si>
  <si>
    <t>9146</t>
  </si>
  <si>
    <t>Délai de paiement moyen des clients</t>
  </si>
  <si>
    <t>Délai de paiement moyen aux fournisseurs</t>
  </si>
  <si>
    <t>RESULTATS : GRAPHIQUES</t>
  </si>
  <si>
    <t>RESULTATS : DONNEES</t>
  </si>
  <si>
    <t>BASE DE DONNEES : SECTEURS BNB</t>
  </si>
  <si>
    <t>TVA sur Achats</t>
  </si>
  <si>
    <t>TVA sur Ventes</t>
  </si>
  <si>
    <t>Effets de commerce</t>
  </si>
  <si>
    <t>17. CREDIT-CLIENTS (jours)</t>
  </si>
  <si>
    <t>18. CREDIT-FOURNISSEURS (jours)</t>
  </si>
  <si>
    <t>jours</t>
  </si>
  <si>
    <t>{17}</t>
  </si>
  <si>
    <t>{18}</t>
  </si>
  <si>
    <t>Médiane</t>
  </si>
  <si>
    <t>Nombre</t>
  </si>
  <si>
    <t>MED.</t>
  </si>
  <si>
    <t>DENOMINATION DE LA SOCIETE + Commune du Siège Social</t>
  </si>
  <si>
    <t>&lt; laisser vide &gt;</t>
  </si>
  <si>
    <t>&lt;= Facultatifs</t>
  </si>
  <si>
    <t>C. + A. + M.</t>
  </si>
  <si>
    <t>Micro</t>
  </si>
  <si>
    <r>
      <t xml:space="preserve">Schéma </t>
    </r>
    <r>
      <rPr>
        <i/>
        <u val="single"/>
        <sz val="12"/>
        <rFont val="Courier 10 Pitch"/>
        <family val="0"/>
      </rPr>
      <t>(C = Complet ; A = Abrégé ; M = Micro)</t>
    </r>
    <r>
      <rPr>
        <sz val="12"/>
        <rFont val="Courier 10 Pitch"/>
        <family val="0"/>
      </rPr>
      <t xml:space="preserve"> </t>
    </r>
    <r>
      <rPr>
        <b/>
        <sz val="12"/>
        <rFont val="Courier 10 Pitch"/>
        <family val="0"/>
      </rPr>
      <t xml:space="preserve">+ Code NACE </t>
    </r>
    <r>
      <rPr>
        <i/>
        <u val="single"/>
        <sz val="12"/>
        <rFont val="Courier 10 Pitch"/>
        <family val="0"/>
      </rPr>
      <t xml:space="preserve"> (xxxxx)</t>
    </r>
  </si>
  <si>
    <t>(3=Micro)</t>
  </si>
  <si>
    <t xml:space="preserve">GRAPHIQUE DE SANTE  &amp;  ECHELLE DES PROBABILITES DE FAILLITE : </t>
  </si>
  <si>
    <t>[C 3.1]</t>
  </si>
  <si>
    <t>[C 3.2]</t>
  </si>
  <si>
    <t>ACTIF DU BILAN</t>
  </si>
  <si>
    <t>PASSIF DU BILAN</t>
  </si>
  <si>
    <t>COMPTE DE RESULTATS</t>
  </si>
  <si>
    <t>[C 4]</t>
  </si>
  <si>
    <t>==========</t>
  </si>
  <si>
    <t xml:space="preserve">70/76A  </t>
  </si>
  <si>
    <r>
      <t xml:space="preserve">Résultat de la recherche  : </t>
    </r>
    <r>
      <rPr>
        <b/>
        <u val="single"/>
        <sz val="12"/>
        <color indexed="17"/>
        <rFont val="Courier 10 Pitch"/>
        <family val="0"/>
      </rPr>
      <t>Code</t>
    </r>
    <r>
      <rPr>
        <sz val="12"/>
        <color indexed="17"/>
        <rFont val="Courier 10 Pitch"/>
        <family val="0"/>
      </rPr>
      <t xml:space="preserve"> du sous-secteur BNB proposé (</t>
    </r>
    <r>
      <rPr>
        <b/>
        <i/>
        <sz val="12"/>
        <color indexed="17"/>
        <rFont val="Courier 10 Pitch"/>
        <family val="0"/>
      </rPr>
      <t>en grisé</t>
    </r>
    <r>
      <rPr>
        <sz val="12"/>
        <color indexed="17"/>
        <rFont val="Courier 10 Pitch"/>
        <family val="0"/>
      </rPr>
      <t>)</t>
    </r>
  </si>
  <si>
    <r>
      <t xml:space="preserve">OUTIL DE RECHERCHE </t>
    </r>
    <r>
      <rPr>
        <sz val="12"/>
        <color indexed="17"/>
        <rFont val="Courier 10 Pitch"/>
        <family val="0"/>
      </rPr>
      <t>du secteur BNB sur base du code NACE (</t>
    </r>
    <r>
      <rPr>
        <b/>
        <i/>
        <sz val="12"/>
        <color indexed="17"/>
        <rFont val="Courier 10 Pitch"/>
        <family val="0"/>
      </rPr>
      <t>en cellule G11</t>
    </r>
    <r>
      <rPr>
        <sz val="12"/>
        <color indexed="17"/>
        <rFont val="Courier 10 Pitch"/>
        <family val="0"/>
      </rPr>
      <t>)</t>
    </r>
  </si>
  <si>
    <t>[C 5] [A 5] [M 5]</t>
  </si>
  <si>
    <t>(s.o.) (s.o.)</t>
  </si>
  <si>
    <t>(9900+60/61)</t>
  </si>
  <si>
    <t>(65)</t>
  </si>
  <si>
    <r>
      <t>740</t>
    </r>
    <r>
      <rPr>
        <sz val="12"/>
        <rFont val="Courier 10 Pitch"/>
        <family val="0"/>
      </rPr>
      <t xml:space="preserve"> (s.o.)</t>
    </r>
  </si>
  <si>
    <t>[C 6.10]</t>
  </si>
  <si>
    <r>
      <t>635</t>
    </r>
    <r>
      <rPr>
        <sz val="12"/>
        <rFont val="Courier 10 Pitch"/>
        <family val="0"/>
      </rPr>
      <t xml:space="preserve"> (s.o.)</t>
    </r>
  </si>
  <si>
    <r>
      <t xml:space="preserve">9126 </t>
    </r>
    <r>
      <rPr>
        <sz val="12"/>
        <rFont val="Courier 10 Pitch"/>
        <family val="0"/>
      </rPr>
      <t>(s.o.)</t>
    </r>
  </si>
  <si>
    <t>[C 6.11]</t>
  </si>
  <si>
    <r>
      <t>653</t>
    </r>
    <r>
      <rPr>
        <sz val="12"/>
        <rFont val="Courier 10 Pitch"/>
        <family val="0"/>
      </rPr>
      <t xml:space="preserve"> (s.o.)</t>
    </r>
  </si>
  <si>
    <r>
      <t>9134</t>
    </r>
    <r>
      <rPr>
        <sz val="12"/>
        <rFont val="Courier 10 Pitch"/>
        <family val="0"/>
      </rPr>
      <t xml:space="preserve"> (67/77)</t>
    </r>
  </si>
  <si>
    <t>[C 6.13] [A 4] [M 4]</t>
  </si>
  <si>
    <r>
      <t xml:space="preserve">9145 </t>
    </r>
    <r>
      <rPr>
        <sz val="12"/>
        <rFont val="Courier 10 Pitch"/>
        <family val="0"/>
      </rPr>
      <t>(s.o.)</t>
    </r>
  </si>
  <si>
    <r>
      <t>9146</t>
    </r>
    <r>
      <rPr>
        <sz val="12"/>
        <rFont val="Courier 10 Pitch"/>
        <family val="0"/>
      </rPr>
      <t xml:space="preserve"> (s.o.)</t>
    </r>
  </si>
  <si>
    <t>[C 6.13]</t>
  </si>
  <si>
    <t>[C 6.14] [A 6.5] [M 6.3]</t>
  </si>
  <si>
    <t>[C 5 / C 6.14]</t>
  </si>
  <si>
    <t>&lt;=  Nace ici !</t>
  </si>
  <si>
    <t>D. Valeurs produites (**)</t>
  </si>
  <si>
    <t>[ ** numérateur = (3) pour PME (schémas Abrégé &amp; Micro) ]</t>
  </si>
  <si>
    <t>{6} x {3}</t>
  </si>
  <si>
    <t>{7} x {3}</t>
  </si>
  <si>
    <t>{8} x {3}</t>
  </si>
  <si>
    <t>{4} x {6}</t>
  </si>
  <si>
    <t>{4} : {3}</t>
  </si>
  <si>
    <t>[ Ratio de Beaver = 100 : ({10} x {19}) : (100 - {19}) ]</t>
  </si>
  <si>
    <t>(13 + 14) : 10/49 x 100</t>
  </si>
  <si>
    <t>(9072 + 9076) : (17/49 - 17) x 100</t>
  </si>
  <si>
    <t>(54/58) : (29/58 - 29) x 100</t>
  </si>
  <si>
    <t>(32 + 33 + 37) : (3 + 40 + 41 + 490/1) x 100</t>
  </si>
  <si>
    <t>(430/8) : (17/49 - 17) x 100</t>
  </si>
  <si>
    <t>(9904 + 9134 + 650 + 653 - 9126) : (20/58) x 100</t>
  </si>
  <si>
    <t>(29/58 - 29) : (17/49 - 17)</t>
  </si>
  <si>
    <t>(694/7) : 9904 x 100</t>
  </si>
  <si>
    <t>9904 : (10/15) x 100</t>
  </si>
  <si>
    <t>(70 + 71 + 72 +74 - 740 - 60 - 61) : 9087</t>
  </si>
  <si>
    <t>(62 + 635) : 9087</t>
  </si>
  <si>
    <t>(70 + 71 + 72 + 74 - 740) : 9087</t>
  </si>
  <si>
    <t>(EBITDA x 2,5) - (170/4 + 43 + 8801)</t>
  </si>
  <si>
    <t>(16 + 17/49) : (9904 + 630 + 631/4 + 635/8 - 9125)</t>
  </si>
  <si>
    <t>(40 + 9150) : (70 + 74 - 740 + 9146) x 365</t>
  </si>
  <si>
    <t>(44) : (600/8 + 61 + 9145) x 365</t>
  </si>
  <si>
    <t>Statistique sectorielle BNB &amp; Nbre</t>
  </si>
  <si>
    <t>Délais paiement moyens fournisseurs*</t>
  </si>
  <si>
    <t>(A x |a| - B x |b| + C x |c |- D x |d| - E x |e| + k) : 100</t>
  </si>
  <si>
    <r>
      <t xml:space="preserve">Forme juridique </t>
    </r>
    <r>
      <rPr>
        <sz val="12"/>
        <rFont val="Courier 10 Pitch"/>
        <family val="0"/>
      </rPr>
      <t xml:space="preserve">(SA,SRL,SC </t>
    </r>
    <r>
      <rPr>
        <b/>
        <sz val="12"/>
        <rFont val="Courier 10 Pitch"/>
        <family val="0"/>
      </rPr>
      <t>ou</t>
    </r>
    <r>
      <rPr>
        <sz val="12"/>
        <rFont val="Courier 10 Pitch"/>
        <family val="0"/>
      </rPr>
      <t xml:space="preserve"> SE,SCE,GEIE)</t>
    </r>
    <r>
      <rPr>
        <b/>
        <sz val="12"/>
        <rFont val="Courier 10 Pitch"/>
        <family val="0"/>
      </rPr>
      <t xml:space="preserve"> + N° Entreprise </t>
    </r>
    <r>
      <rPr>
        <i/>
        <u val="single"/>
        <sz val="12"/>
        <rFont val="Courier 10 Pitch"/>
        <family val="0"/>
      </rPr>
      <t>(BE 0xxx.xxx.xxx)</t>
    </r>
  </si>
  <si>
    <r>
      <t xml:space="preserve">Date de l'assemblée générale annuelle </t>
    </r>
    <r>
      <rPr>
        <i/>
        <u val="single"/>
        <sz val="12"/>
        <rFont val="Courier 10 Pitch"/>
        <family val="0"/>
      </rPr>
      <t>(jj/mm/aa)</t>
    </r>
  </si>
  <si>
    <r>
      <rPr>
        <b/>
        <u val="single"/>
        <sz val="12"/>
        <rFont val="Courier 10 Pitch"/>
        <family val="0"/>
      </rPr>
      <t>Code</t>
    </r>
    <r>
      <rPr>
        <sz val="12"/>
        <rFont val="Courier 10 Pitch"/>
        <family val="0"/>
      </rPr>
      <t xml:space="preserve"> sous-secteur </t>
    </r>
    <r>
      <rPr>
        <b/>
        <sz val="12"/>
        <rFont val="Courier 10 Pitch"/>
        <family val="0"/>
      </rPr>
      <t xml:space="preserve">+ </t>
    </r>
    <r>
      <rPr>
        <b/>
        <u val="single"/>
        <sz val="12"/>
        <rFont val="Courier 10 Pitch"/>
        <family val="0"/>
      </rPr>
      <t>Année</t>
    </r>
    <r>
      <rPr>
        <sz val="12"/>
        <rFont val="Courier 10 Pitch"/>
        <family val="0"/>
      </rPr>
      <t xml:space="preserve"> BNB (</t>
    </r>
    <r>
      <rPr>
        <u val="single"/>
        <sz val="12"/>
        <rFont val="Courier 10 Pitch"/>
        <family val="0"/>
      </rPr>
      <t>ne rien indiquer pour les normes par défaut</t>
    </r>
    <r>
      <rPr>
        <sz val="12"/>
        <rFont val="Courier 10 Pitch"/>
        <family val="0"/>
      </rPr>
      <t>)</t>
    </r>
  </si>
  <si>
    <t>10/49 ou 20/58</t>
  </si>
  <si>
    <r>
      <t>8801</t>
    </r>
    <r>
      <rPr>
        <sz val="12"/>
        <rFont val="Courier 10 Pitch"/>
        <family val="0"/>
      </rPr>
      <t xml:space="preserve"> (42)</t>
    </r>
  </si>
  <si>
    <r>
      <t xml:space="preserve">Durée de l'exercice </t>
    </r>
    <r>
      <rPr>
        <i/>
        <u val="single"/>
        <sz val="12"/>
        <rFont val="Courier 10 Pitch"/>
        <family val="0"/>
      </rPr>
      <t>(à calculer en mois ; normalement = 12 + 0,033 par jour en plus)</t>
    </r>
  </si>
  <si>
    <t xml:space="preserve">     ---------&gt;</t>
  </si>
  <si>
    <t xml:space="preserve"> C</t>
  </si>
  <si>
    <t xml:space="preserve"> T </t>
  </si>
  <si>
    <t xml:space="preserve"> R</t>
  </si>
  <si>
    <t xml:space="preserve">  L</t>
  </si>
  <si>
    <t>seuil  =&gt;</t>
  </si>
  <si>
    <t>risques dans les 3 ans</t>
  </si>
  <si>
    <t>Codes PU/DI &amp; Libellé BNB &amp; cap/app</t>
  </si>
  <si>
    <t>Immobilisations incorporelles</t>
  </si>
  <si>
    <t>Immobilisations corporelles</t>
  </si>
  <si>
    <t>Immobilisations financières</t>
  </si>
  <si>
    <t>Frais d'établissement</t>
  </si>
  <si>
    <t>Créances à plus d'un an</t>
  </si>
  <si>
    <t>Stocks</t>
  </si>
  <si>
    <t>Commandes en cours d'exécution</t>
  </si>
  <si>
    <t>Placements de trésorerie</t>
  </si>
  <si>
    <t>Comptes de régularisation</t>
  </si>
  <si>
    <t>Capitaux propres</t>
  </si>
  <si>
    <t>Réserves</t>
  </si>
  <si>
    <t>Provisions &amp; impôts différés</t>
  </si>
  <si>
    <t>Dettes à plus d'un an</t>
  </si>
  <si>
    <t>Dettes à un an au plus</t>
  </si>
  <si>
    <t>dont Etablissements de crédit</t>
  </si>
  <si>
    <t>Produits d'exploitation non récurrents</t>
  </si>
  <si>
    <t>Services &amp; biens divers</t>
  </si>
  <si>
    <t>Charges d'exploitation non récurrentes</t>
  </si>
  <si>
    <t>Produits financiers récurrents</t>
  </si>
  <si>
    <t>Produits financiers non récurrents</t>
  </si>
  <si>
    <t>Charges financières récurrentes</t>
  </si>
  <si>
    <t>Charges financières non récurrentes</t>
  </si>
  <si>
    <t>Prélèvement sur les impôts différés</t>
  </si>
  <si>
    <t>Transfert aux impôts différés</t>
  </si>
  <si>
    <t>Emprunts à LT échéant dans l'année</t>
  </si>
  <si>
    <t>Dettes échues envers l'ONSS</t>
  </si>
  <si>
    <t>Effectif moyen du personnel (ETP)</t>
  </si>
  <si>
    <t>Provisions pour pensions (+/-)</t>
  </si>
  <si>
    <t>Résultat reporté (+/-)</t>
  </si>
  <si>
    <t>Réductions de valeur (+/-)</t>
  </si>
  <si>
    <t>Provisions (+/-)</t>
  </si>
  <si>
    <t>Charges d'exploitation activées (-)</t>
  </si>
  <si>
    <t>Impôts sur le résultat (+/-)</t>
  </si>
  <si>
    <t>RESULTAT DE L'EXERCICE (+/-)</t>
  </si>
  <si>
    <t>[C 6.9] [A 9] [M 8]</t>
  </si>
  <si>
    <r>
      <t xml:space="preserve">9087 </t>
    </r>
    <r>
      <rPr>
        <sz val="12"/>
        <rFont val="Courier 10 Pitch"/>
        <family val="0"/>
      </rPr>
      <t>(100.3)</t>
    </r>
  </si>
  <si>
    <t>[C 6.10] [A 6.4] [M 11]</t>
  </si>
  <si>
    <t>CAPITAL OU APPORT</t>
  </si>
  <si>
    <t>10 ou 10/11</t>
  </si>
  <si>
    <t xml:space="preserve"> Activité   /   Cessation</t>
  </si>
  <si>
    <t>Score de Défaillance</t>
  </si>
  <si>
    <r>
      <t>Secteur (</t>
    </r>
    <r>
      <rPr>
        <b/>
        <u val="single"/>
        <sz val="12"/>
        <rFont val="Courier 10 Pitch"/>
        <family val="0"/>
      </rPr>
      <t>S</t>
    </r>
    <r>
      <rPr>
        <u val="single"/>
        <sz val="12"/>
        <rFont val="Courier 10 Pitch"/>
        <family val="0"/>
      </rPr>
      <t>)</t>
    </r>
  </si>
  <si>
    <t xml:space="preserve"> Activité / Cessation</t>
  </si>
  <si>
    <t>TRAITEMENT DES DONNEES</t>
  </si>
  <si>
    <t>Fonds Propres</t>
  </si>
  <si>
    <r>
      <t xml:space="preserve">Degré de couverture du capital (%) </t>
    </r>
    <r>
      <rPr>
        <b/>
        <sz val="12"/>
        <rFont val="Courier 10 Pitch"/>
        <family val="0"/>
      </rPr>
      <t>ou</t>
    </r>
    <r>
      <rPr>
        <sz val="12"/>
        <rFont val="Courier 10 Pitch"/>
        <family val="0"/>
      </rPr>
      <t xml:space="preserve"> Actif net</t>
    </r>
  </si>
  <si>
    <r>
      <t xml:space="preserve">(10/15 - 20) : (10) x 100 </t>
    </r>
    <r>
      <rPr>
        <b/>
        <sz val="12"/>
        <rFont val="Courier 10 Pitch"/>
        <family val="0"/>
      </rPr>
      <t>ou</t>
    </r>
    <r>
      <rPr>
        <sz val="12"/>
        <rFont val="Courier 10 Pitch"/>
        <family val="0"/>
      </rPr>
      <t xml:space="preserve"> (10/15 - 20)</t>
    </r>
  </si>
  <si>
    <t>Liquidité générale</t>
  </si>
  <si>
    <t>clôture exercice (normal=12 mois)</t>
  </si>
  <si>
    <t>approbation AG (retard &gt; 6 mois)</t>
  </si>
  <si>
    <t>22110</t>
  </si>
  <si>
    <t>BRIDGESTONE AIRCRAFT TIRE (EUROPE)</t>
  </si>
  <si>
    <t>SA</t>
  </si>
  <si>
    <t>Frameries</t>
  </si>
  <si>
    <t>BE 0401.206.450</t>
  </si>
  <si>
    <r>
      <t xml:space="preserve">Localisation du secteur principal + codes regroupés + dernière </t>
    </r>
    <r>
      <rPr>
        <b/>
        <u val="single"/>
        <sz val="12"/>
        <color indexed="17"/>
        <rFont val="Courier 10 Pitch"/>
        <family val="0"/>
      </rPr>
      <t>Année BNB</t>
    </r>
    <r>
      <rPr>
        <sz val="12"/>
        <color indexed="17"/>
        <rFont val="Courier 10 Pitch"/>
        <family val="0"/>
      </rPr>
      <t xml:space="preserve"> (</t>
    </r>
    <r>
      <rPr>
        <b/>
        <i/>
        <sz val="12"/>
        <color indexed="17"/>
        <rFont val="Courier 10 Pitch"/>
        <family val="0"/>
      </rPr>
      <t>en grisé</t>
    </r>
    <r>
      <rPr>
        <sz val="12"/>
        <color indexed="17"/>
        <rFont val="Courier 10 Pitch"/>
        <family val="0"/>
      </rPr>
      <t>)</t>
    </r>
  </si>
  <si>
    <t>≠</t>
  </si>
  <si>
    <t>[**]</t>
  </si>
  <si>
    <t>[**] = {9} : ({10} - {9}) x {7} x {3}</t>
  </si>
  <si>
    <t>[ Application SANTE Sociétés ]</t>
  </si>
  <si>
    <t>[ Version 2023 ]</t>
  </si>
  <si>
    <t>(9900+60/61-76A)</t>
  </si>
  <si>
    <t>(60/61 ou s.o.)</t>
  </si>
  <si>
    <t>(s.o.) (s.o.)*</t>
  </si>
  <si>
    <t xml:space="preserve"> (s.o.)* = Sans Objet = 0</t>
  </si>
  <si>
    <t>[C 6.9] [A 6.3] [M 3.2]</t>
  </si>
  <si>
    <r>
      <t xml:space="preserve">9125 </t>
    </r>
    <r>
      <rPr>
        <sz val="12"/>
        <rFont val="Courier 10 Pitch"/>
        <family val="0"/>
      </rPr>
      <t>(9078)</t>
    </r>
  </si>
  <si>
    <t>[C 6.11] [A 9] [M 8]</t>
  </si>
  <si>
    <t>==============================================================================================================</t>
  </si>
  <si>
    <t>[A 3.1] [M 3.1]                    =========================================</t>
  </si>
  <si>
    <t>[A 3.2] [M 3.2]                    =========================================</t>
  </si>
  <si>
    <t>[A 4] [M 4]                           =========================================</t>
  </si>
  <si>
    <t>[A 5 / A 9] [M 5 / M 11]      =========================================</t>
  </si>
  <si>
    <t>[ Ver. mois / année ]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</si>
</sst>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0_)"/>
    <numFmt numFmtId="175" formatCode="dd/mm/yy_)"/>
    <numFmt numFmtId="176" formatCode="hh:mm_)"/>
    <numFmt numFmtId="177" formatCode="0.0_)"/>
    <numFmt numFmtId="178" formatCode="0.00_)"/>
    <numFmt numFmtId="179" formatCode=";;;"/>
    <numFmt numFmtId="180" formatCode="0.0000_)"/>
    <numFmt numFmtId="181" formatCode="0.000_)"/>
    <numFmt numFmtId="182" formatCode="#,##0_);\(#,##0\)"/>
    <numFmt numFmtId="183" formatCode="0.0%"/>
    <numFmt numFmtId="184" formatCode="#,##0.0_);\(#,##0.0\)"/>
    <numFmt numFmtId="185" formatCode="#,##0.0"/>
    <numFmt numFmtId="186" formatCode="0.000"/>
    <numFmt numFmtId="187" formatCode="0.0"/>
    <numFmt numFmtId="188" formatCode="#,##0.000"/>
    <numFmt numFmtId="189" formatCode="[$-80C]dddd\ d\ mmmm\ yyyy"/>
    <numFmt numFmtId="190" formatCode="d/mm/yy;@"/>
    <numFmt numFmtId="191" formatCode="0.0000"/>
    <numFmt numFmtId="192" formatCode="dd/mm;@"/>
  </numFmts>
  <fonts count="79">
    <font>
      <sz val="12"/>
      <name val="Courier 10 Pitch"/>
      <family val="0"/>
    </font>
    <font>
      <sz val="10"/>
      <name val="Arial"/>
      <family val="0"/>
    </font>
    <font>
      <sz val="10"/>
      <name val="Courier"/>
      <family val="3"/>
    </font>
    <font>
      <sz val="10"/>
      <color indexed="12"/>
      <name val="Courier"/>
      <family val="3"/>
    </font>
    <font>
      <b/>
      <sz val="12"/>
      <name val="Courier 10 Pitch"/>
      <family val="0"/>
    </font>
    <font>
      <b/>
      <u val="single"/>
      <sz val="12"/>
      <name val="Courier 10 Pitch"/>
      <family val="0"/>
    </font>
    <font>
      <b/>
      <i/>
      <sz val="12"/>
      <name val="Courier 10 Pitch"/>
      <family val="0"/>
    </font>
    <font>
      <sz val="12"/>
      <name val="Courier New"/>
      <family val="3"/>
    </font>
    <font>
      <sz val="12"/>
      <color indexed="12"/>
      <name val="Courier New"/>
      <family val="3"/>
    </font>
    <font>
      <sz val="12"/>
      <color indexed="12"/>
      <name val="Courier"/>
      <family val="3"/>
    </font>
    <font>
      <u val="single"/>
      <sz val="12"/>
      <name val="Courier 10 Pitch"/>
      <family val="0"/>
    </font>
    <font>
      <b/>
      <sz val="12"/>
      <name val="Courier New"/>
      <family val="3"/>
    </font>
    <font>
      <b/>
      <u val="single"/>
      <sz val="12"/>
      <name val="Courier New"/>
      <family val="3"/>
    </font>
    <font>
      <i/>
      <sz val="12"/>
      <name val="Courier 10 Pitch"/>
      <family val="0"/>
    </font>
    <font>
      <i/>
      <u val="single"/>
      <sz val="12"/>
      <name val="Courier 10 Pitch"/>
      <family val="0"/>
    </font>
    <font>
      <b/>
      <i/>
      <u val="single"/>
      <sz val="12"/>
      <name val="Courier 10 Pitch"/>
      <family val="0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10"/>
      <name val="Tahoma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2"/>
      <name val="Calibri"/>
      <family val="2"/>
    </font>
    <font>
      <sz val="12"/>
      <color indexed="17"/>
      <name val="Courier 10 Pitch"/>
      <family val="0"/>
    </font>
    <font>
      <b/>
      <i/>
      <sz val="12"/>
      <color indexed="17"/>
      <name val="Courier 10 Pitch"/>
      <family val="0"/>
    </font>
    <font>
      <b/>
      <u val="single"/>
      <sz val="12"/>
      <color indexed="17"/>
      <name val="Courier 10 Pitch"/>
      <family val="0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2"/>
      <color indexed="8"/>
      <name val="Courier 10 Pitch"/>
      <family val="0"/>
    </font>
    <font>
      <b/>
      <i/>
      <sz val="12"/>
      <color indexed="9"/>
      <name val="Courier 10 Pitch"/>
      <family val="0"/>
    </font>
    <font>
      <i/>
      <sz val="12"/>
      <color indexed="9"/>
      <name val="Courier 10 Pitch"/>
      <family val="0"/>
    </font>
    <font>
      <b/>
      <sz val="12"/>
      <color indexed="17"/>
      <name val="Courier 10 Pitch"/>
      <family val="0"/>
    </font>
    <font>
      <b/>
      <i/>
      <u val="single"/>
      <sz val="12"/>
      <color indexed="17"/>
      <name val="Courier 10 Pitch"/>
      <family val="0"/>
    </font>
    <font>
      <b/>
      <u val="single"/>
      <sz val="12"/>
      <color indexed="9"/>
      <name val="Courier 10 Pitch"/>
      <family val="0"/>
    </font>
    <font>
      <b/>
      <sz val="12"/>
      <color indexed="9"/>
      <name val="Courier 10 Pitch"/>
      <family val="0"/>
    </font>
    <font>
      <sz val="12"/>
      <color indexed="9"/>
      <name val="Courier 10 Pit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2"/>
      <color theme="1"/>
      <name val="Courier 10 Pitch"/>
      <family val="0"/>
    </font>
    <font>
      <b/>
      <i/>
      <sz val="12"/>
      <color theme="0"/>
      <name val="Courier 10 Pitch"/>
      <family val="0"/>
    </font>
    <font>
      <i/>
      <sz val="12"/>
      <color theme="0"/>
      <name val="Courier 10 Pitch"/>
      <family val="0"/>
    </font>
    <font>
      <b/>
      <sz val="12"/>
      <color rgb="FF00B050"/>
      <name val="Courier 10 Pitch"/>
      <family val="0"/>
    </font>
    <font>
      <b/>
      <i/>
      <u val="single"/>
      <sz val="12"/>
      <color rgb="FF00B050"/>
      <name val="Courier 10 Pitch"/>
      <family val="0"/>
    </font>
    <font>
      <sz val="12"/>
      <color rgb="FF00B050"/>
      <name val="Courier 10 Pitch"/>
      <family val="0"/>
    </font>
    <font>
      <b/>
      <i/>
      <sz val="12"/>
      <color rgb="FF00B050"/>
      <name val="Courier 10 Pitch"/>
      <family val="0"/>
    </font>
    <font>
      <b/>
      <u val="single"/>
      <sz val="12"/>
      <color theme="0"/>
      <name val="Courier 10 Pitch"/>
      <family val="0"/>
    </font>
    <font>
      <b/>
      <sz val="12"/>
      <color theme="0"/>
      <name val="Courier 10 Pitch"/>
      <family val="0"/>
    </font>
    <font>
      <sz val="12"/>
      <color theme="0"/>
      <name val="Courier 10 Pitch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1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 style="thick">
        <color theme="1"/>
      </right>
      <top style="thick">
        <color theme="1"/>
      </top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 style="thick">
        <color theme="1"/>
      </right>
      <top>
        <color indexed="63"/>
      </top>
      <bottom style="thick">
        <color theme="1"/>
      </bottom>
    </border>
    <border>
      <left>
        <color indexed="63"/>
      </left>
      <right style="thick">
        <color theme="1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/>
      <top style="medium">
        <color theme="1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theme="1"/>
      </bottom>
    </border>
    <border>
      <left style="medium"/>
      <right style="medium"/>
      <top style="medium">
        <color theme="1"/>
      </top>
      <bottom>
        <color indexed="63"/>
      </bottom>
    </border>
    <border>
      <left style="medium"/>
      <right style="medium"/>
      <top>
        <color indexed="63"/>
      </top>
      <bottom style="medium">
        <color theme="1"/>
      </bottom>
    </border>
    <border>
      <left style="medium"/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theme="1"/>
      </left>
      <right style="thin"/>
      <top style="thin"/>
      <bottom style="thick">
        <color theme="1"/>
      </bottom>
    </border>
    <border>
      <left>
        <color indexed="63"/>
      </left>
      <right style="thick">
        <color theme="1"/>
      </right>
      <top style="thin"/>
      <bottom style="thin"/>
    </border>
    <border>
      <left style="thick">
        <color theme="1"/>
      </left>
      <right style="thin"/>
      <top style="thick">
        <color theme="1"/>
      </top>
      <bottom style="thin"/>
    </border>
    <border>
      <left style="thin"/>
      <right style="thin"/>
      <top style="thick">
        <color theme="1"/>
      </top>
      <bottom style="thin"/>
    </border>
    <border>
      <left style="thin"/>
      <right style="thick">
        <color theme="1"/>
      </right>
      <top style="thick">
        <color theme="1"/>
      </top>
      <bottom style="thin"/>
    </border>
    <border>
      <left style="thick">
        <color theme="1"/>
      </left>
      <right style="thin"/>
      <top style="thin"/>
      <bottom style="thin"/>
    </border>
    <border>
      <left style="thin"/>
      <right style="thick">
        <color theme="1"/>
      </right>
      <top style="thin"/>
      <bottom style="thin"/>
    </border>
    <border>
      <left style="thin"/>
      <right style="thin"/>
      <top style="thin"/>
      <bottom style="thick">
        <color theme="1"/>
      </bottom>
    </border>
    <border>
      <left style="thin"/>
      <right style="thick">
        <color theme="1"/>
      </right>
      <top style="thin"/>
      <bottom style="thick">
        <color theme="1"/>
      </bottom>
    </border>
    <border>
      <left style="thick">
        <color theme="1"/>
      </left>
      <right style="thin"/>
      <top style="thick">
        <color theme="1"/>
      </top>
      <bottom style="thick">
        <color theme="1"/>
      </bottom>
    </border>
    <border>
      <left style="thin"/>
      <right style="thin"/>
      <top style="thick">
        <color theme="1"/>
      </top>
      <bottom style="thick">
        <color theme="1"/>
      </bottom>
    </border>
    <border>
      <left style="thin"/>
      <right style="thick">
        <color theme="1"/>
      </right>
      <top style="thick">
        <color theme="1"/>
      </top>
      <bottom style="thick">
        <color theme="1"/>
      </bottom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thin"/>
    </border>
    <border>
      <left style="medium">
        <color theme="1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theme="1"/>
      </left>
      <right>
        <color indexed="63"/>
      </right>
      <top style="thin"/>
      <bottom style="thin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>
        <color indexed="63"/>
      </right>
      <top>
        <color indexed="63"/>
      </top>
      <bottom style="medium">
        <color theme="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 style="thin"/>
    </border>
  </borders>
  <cellStyleXfs count="63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17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543">
    <xf numFmtId="174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 horizontal="fill"/>
      <protection/>
    </xf>
    <xf numFmtId="177" fontId="5" fillId="0" borderId="0" xfId="0" applyNumberFormat="1" applyFont="1" applyAlignment="1" applyProtection="1">
      <alignment/>
      <protection/>
    </xf>
    <xf numFmtId="174" fontId="4" fillId="0" borderId="0" xfId="0" applyNumberFormat="1" applyFont="1" applyAlignment="1" applyProtection="1">
      <alignment/>
      <protection/>
    </xf>
    <xf numFmtId="180" fontId="0" fillId="0" borderId="0" xfId="0" applyNumberFormat="1" applyFont="1" applyAlignment="1" applyProtection="1">
      <alignment/>
      <protection/>
    </xf>
    <xf numFmtId="182" fontId="0" fillId="0" borderId="0" xfId="0" applyNumberFormat="1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8" fontId="0" fillId="0" borderId="0" xfId="0" applyNumberFormat="1" applyBorder="1" applyAlignment="1" applyProtection="1">
      <alignment/>
      <protection/>
    </xf>
    <xf numFmtId="182" fontId="0" fillId="0" borderId="10" xfId="0" applyNumberFormat="1" applyBorder="1" applyAlignment="1" applyProtection="1">
      <alignment/>
      <protection/>
    </xf>
    <xf numFmtId="182" fontId="0" fillId="0" borderId="11" xfId="0" applyNumberFormat="1" applyBorder="1" applyAlignment="1" applyProtection="1">
      <alignment/>
      <protection/>
    </xf>
    <xf numFmtId="182" fontId="0" fillId="0" borderId="12" xfId="0" applyNumberFormat="1" applyBorder="1" applyAlignment="1" applyProtection="1">
      <alignment/>
      <protection/>
    </xf>
    <xf numFmtId="182" fontId="0" fillId="0" borderId="13" xfId="0" applyNumberFormat="1" applyBorder="1" applyAlignment="1" applyProtection="1">
      <alignment/>
      <protection/>
    </xf>
    <xf numFmtId="182" fontId="0" fillId="0" borderId="14" xfId="0" applyNumberFormat="1" applyBorder="1" applyAlignment="1" applyProtection="1">
      <alignment/>
      <protection/>
    </xf>
    <xf numFmtId="182" fontId="0" fillId="0" borderId="15" xfId="0" applyNumberFormat="1" applyBorder="1" applyAlignment="1" applyProtection="1">
      <alignment/>
      <protection/>
    </xf>
    <xf numFmtId="182" fontId="0" fillId="0" borderId="16" xfId="0" applyNumberFormat="1" applyBorder="1" applyAlignment="1" applyProtection="1">
      <alignment/>
      <protection/>
    </xf>
    <xf numFmtId="182" fontId="0" fillId="0" borderId="17" xfId="0" applyNumberFormat="1" applyBorder="1" applyAlignment="1" applyProtection="1">
      <alignment/>
      <protection/>
    </xf>
    <xf numFmtId="177" fontId="0" fillId="0" borderId="11" xfId="0" applyNumberFormat="1" applyBorder="1" applyAlignment="1" applyProtection="1">
      <alignment/>
      <protection/>
    </xf>
    <xf numFmtId="182" fontId="0" fillId="0" borderId="11" xfId="0" applyNumberFormat="1" applyBorder="1" applyAlignment="1" applyProtection="1">
      <alignment horizontal="fill"/>
      <protection/>
    </xf>
    <xf numFmtId="182" fontId="0" fillId="0" borderId="12" xfId="0" applyNumberFormat="1" applyBorder="1" applyAlignment="1" applyProtection="1">
      <alignment horizontal="fill"/>
      <protection/>
    </xf>
    <xf numFmtId="174" fontId="0" fillId="0" borderId="0" xfId="0" applyNumberFormat="1" applyBorder="1" applyAlignment="1" applyProtection="1">
      <alignment/>
      <protection/>
    </xf>
    <xf numFmtId="174" fontId="0" fillId="0" borderId="17" xfId="0" applyNumberFormat="1" applyBorder="1" applyAlignment="1" applyProtection="1">
      <alignment/>
      <protection/>
    </xf>
    <xf numFmtId="174" fontId="0" fillId="0" borderId="0" xfId="0" applyNumberFormat="1" applyBorder="1" applyAlignment="1" applyProtection="1">
      <alignment horizontal="right"/>
      <protection/>
    </xf>
    <xf numFmtId="174" fontId="0" fillId="0" borderId="0" xfId="0" applyNumberFormat="1" applyBorder="1" applyAlignment="1" applyProtection="1">
      <alignment horizontal="fill"/>
      <protection/>
    </xf>
    <xf numFmtId="174" fontId="0" fillId="0" borderId="17" xfId="0" applyNumberFormat="1" applyBorder="1" applyAlignment="1" applyProtection="1">
      <alignment horizontal="fill"/>
      <protection/>
    </xf>
    <xf numFmtId="174" fontId="0" fillId="0" borderId="15" xfId="0" applyNumberFormat="1" applyBorder="1" applyAlignment="1" applyProtection="1">
      <alignment/>
      <protection/>
    </xf>
    <xf numFmtId="174" fontId="0" fillId="0" borderId="16" xfId="0" applyNumberForma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182" fontId="0" fillId="0" borderId="0" xfId="0" applyNumberFormat="1" applyBorder="1" applyAlignment="1" applyProtection="1">
      <alignment horizontal="fill"/>
      <protection/>
    </xf>
    <xf numFmtId="182" fontId="0" fillId="0" borderId="18" xfId="0" applyNumberFormat="1" applyBorder="1" applyAlignment="1" applyProtection="1">
      <alignment/>
      <protection/>
    </xf>
    <xf numFmtId="182" fontId="0" fillId="0" borderId="19" xfId="0" applyNumberFormat="1" applyBorder="1" applyAlignment="1" applyProtection="1">
      <alignment/>
      <protection/>
    </xf>
    <xf numFmtId="182" fontId="0" fillId="0" borderId="20" xfId="0" applyNumberFormat="1" applyBorder="1" applyAlignment="1" applyProtection="1">
      <alignment/>
      <protection/>
    </xf>
    <xf numFmtId="182" fontId="0" fillId="0" borderId="21" xfId="0" applyNumberFormat="1" applyBorder="1" applyAlignment="1" applyProtection="1">
      <alignment/>
      <protection/>
    </xf>
    <xf numFmtId="174" fontId="0" fillId="0" borderId="21" xfId="0" applyNumberFormat="1" applyBorder="1" applyAlignment="1" applyProtection="1">
      <alignment/>
      <protection/>
    </xf>
    <xf numFmtId="174" fontId="4" fillId="0" borderId="0" xfId="0" applyNumberFormat="1" applyFon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 horizontal="fill"/>
      <protection/>
    </xf>
    <xf numFmtId="174" fontId="0" fillId="0" borderId="23" xfId="0" applyNumberFormat="1" applyBorder="1" applyAlignment="1" applyProtection="1">
      <alignment/>
      <protection/>
    </xf>
    <xf numFmtId="174" fontId="0" fillId="0" borderId="24" xfId="0" applyNumberFormat="1" applyBorder="1" applyAlignment="1" applyProtection="1">
      <alignment/>
      <protection/>
    </xf>
    <xf numFmtId="180" fontId="0" fillId="0" borderId="0" xfId="0" applyNumberFormat="1" applyBorder="1" applyAlignment="1" applyProtection="1">
      <alignment/>
      <protection/>
    </xf>
    <xf numFmtId="182" fontId="0" fillId="0" borderId="0" xfId="0" applyNumberFormat="1" applyAlignment="1" applyProtection="1" quotePrefix="1">
      <alignment/>
      <protection/>
    </xf>
    <xf numFmtId="174" fontId="0" fillId="0" borderId="0" xfId="0" applyNumberFormat="1" applyAlignment="1" applyProtection="1" quotePrefix="1">
      <alignment/>
      <protection/>
    </xf>
    <xf numFmtId="1" fontId="0" fillId="0" borderId="0" xfId="0" applyNumberFormat="1" applyAlignment="1" applyProtection="1">
      <alignment/>
      <protection/>
    </xf>
    <xf numFmtId="187" fontId="0" fillId="0" borderId="0" xfId="0" applyNumberFormat="1" applyAlignment="1" applyProtection="1">
      <alignment/>
      <protection/>
    </xf>
    <xf numFmtId="186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174" fontId="4" fillId="0" borderId="0" xfId="0" applyFont="1" applyAlignment="1" applyProtection="1">
      <alignment horizontal="fill"/>
      <protection/>
    </xf>
    <xf numFmtId="174" fontId="0" fillId="0" borderId="0" xfId="0" applyAlignment="1" applyProtection="1">
      <alignment/>
      <protection/>
    </xf>
    <xf numFmtId="174" fontId="10" fillId="0" borderId="0" xfId="0" applyFont="1" applyAlignment="1" applyProtection="1">
      <alignment/>
      <protection/>
    </xf>
    <xf numFmtId="174" fontId="0" fillId="0" borderId="0" xfId="0" applyAlignment="1" applyProtection="1" quotePrefix="1">
      <alignment horizontal="fill"/>
      <protection/>
    </xf>
    <xf numFmtId="174" fontId="0" fillId="0" borderId="0" xfId="0" applyAlignment="1" applyProtection="1" quotePrefix="1">
      <alignment/>
      <protection/>
    </xf>
    <xf numFmtId="174" fontId="0" fillId="0" borderId="0" xfId="0" applyAlignment="1" applyProtection="1">
      <alignment horizontal="fill"/>
      <protection/>
    </xf>
    <xf numFmtId="174" fontId="0" fillId="0" borderId="0" xfId="0" applyBorder="1" applyAlignment="1" applyProtection="1">
      <alignment/>
      <protection/>
    </xf>
    <xf numFmtId="174" fontId="5" fillId="0" borderId="0" xfId="0" applyFont="1" applyBorder="1" applyAlignment="1" applyProtection="1">
      <alignment/>
      <protection/>
    </xf>
    <xf numFmtId="174" fontId="0" fillId="0" borderId="0" xfId="0" applyAlignment="1" applyProtection="1">
      <alignment horizontal="center"/>
      <protection/>
    </xf>
    <xf numFmtId="174" fontId="5" fillId="0" borderId="0" xfId="0" applyFont="1" applyAlignment="1" applyProtection="1">
      <alignment horizontal="left"/>
      <protection/>
    </xf>
    <xf numFmtId="174" fontId="5" fillId="0" borderId="0" xfId="0" applyFont="1" applyAlignment="1" applyProtection="1">
      <alignment/>
      <protection/>
    </xf>
    <xf numFmtId="174" fontId="4" fillId="0" borderId="0" xfId="0" applyFont="1" applyAlignment="1" applyProtection="1">
      <alignment/>
      <protection/>
    </xf>
    <xf numFmtId="174" fontId="0" fillId="0" borderId="0" xfId="0" applyFont="1" applyAlignment="1" applyProtection="1">
      <alignment/>
      <protection/>
    </xf>
    <xf numFmtId="174" fontId="0" fillId="0" borderId="10" xfId="0" applyBorder="1" applyAlignment="1" applyProtection="1">
      <alignment/>
      <protection/>
    </xf>
    <xf numFmtId="174" fontId="0" fillId="0" borderId="13" xfId="0" applyBorder="1" applyAlignment="1" applyProtection="1">
      <alignment/>
      <protection/>
    </xf>
    <xf numFmtId="174" fontId="0" fillId="0" borderId="17" xfId="0" applyBorder="1" applyAlignment="1" applyProtection="1">
      <alignment/>
      <protection/>
    </xf>
    <xf numFmtId="174" fontId="13" fillId="0" borderId="0" xfId="0" applyFont="1" applyAlignment="1" applyProtection="1">
      <alignment/>
      <protection/>
    </xf>
    <xf numFmtId="174" fontId="0" fillId="0" borderId="0" xfId="0" applyBorder="1" applyAlignment="1" applyProtection="1" quotePrefix="1">
      <alignment/>
      <protection/>
    </xf>
    <xf numFmtId="174" fontId="0" fillId="0" borderId="0" xfId="0" applyAlignment="1" applyProtection="1">
      <alignment horizontal="left"/>
      <protection/>
    </xf>
    <xf numFmtId="174" fontId="4" fillId="0" borderId="0" xfId="0" applyFont="1" applyBorder="1" applyAlignment="1" applyProtection="1" quotePrefix="1">
      <alignment/>
      <protection/>
    </xf>
    <xf numFmtId="174" fontId="6" fillId="0" borderId="0" xfId="0" applyFont="1" applyAlignment="1" applyProtection="1">
      <alignment/>
      <protection/>
    </xf>
    <xf numFmtId="174" fontId="0" fillId="0" borderId="0" xfId="0" applyAlignment="1" applyProtection="1">
      <alignment horizontal="right"/>
      <protection/>
    </xf>
    <xf numFmtId="174" fontId="0" fillId="0" borderId="0" xfId="0" applyBorder="1" applyAlignment="1" applyProtection="1">
      <alignment horizontal="right"/>
      <protection/>
    </xf>
    <xf numFmtId="174" fontId="4" fillId="0" borderId="0" xfId="0" applyFont="1" applyAlignment="1" applyProtection="1" quotePrefix="1">
      <alignment/>
      <protection/>
    </xf>
    <xf numFmtId="174" fontId="0" fillId="0" borderId="11" xfId="0" applyBorder="1" applyAlignment="1" applyProtection="1">
      <alignment/>
      <protection/>
    </xf>
    <xf numFmtId="174" fontId="0" fillId="0" borderId="12" xfId="0" applyBorder="1" applyAlignment="1" applyProtection="1">
      <alignment/>
      <protection/>
    </xf>
    <xf numFmtId="174" fontId="0" fillId="0" borderId="14" xfId="0" applyBorder="1" applyAlignment="1" applyProtection="1">
      <alignment/>
      <protection/>
    </xf>
    <xf numFmtId="174" fontId="0" fillId="0" borderId="15" xfId="0" applyBorder="1" applyAlignment="1" applyProtection="1">
      <alignment/>
      <protection/>
    </xf>
    <xf numFmtId="174" fontId="0" fillId="0" borderId="20" xfId="0" applyBorder="1" applyAlignment="1" applyProtection="1">
      <alignment/>
      <protection/>
    </xf>
    <xf numFmtId="174" fontId="0" fillId="0" borderId="21" xfId="0" applyBorder="1" applyAlignment="1" applyProtection="1">
      <alignment/>
      <protection/>
    </xf>
    <xf numFmtId="174" fontId="0" fillId="0" borderId="19" xfId="0" applyBorder="1" applyAlignment="1" applyProtection="1">
      <alignment/>
      <protection/>
    </xf>
    <xf numFmtId="174" fontId="0" fillId="0" borderId="18" xfId="0" applyBorder="1" applyAlignment="1" applyProtection="1">
      <alignment/>
      <protection/>
    </xf>
    <xf numFmtId="174" fontId="0" fillId="0" borderId="22" xfId="0" applyBorder="1" applyAlignment="1" applyProtection="1">
      <alignment/>
      <protection/>
    </xf>
    <xf numFmtId="174" fontId="0" fillId="0" borderId="0" xfId="0" applyBorder="1" applyAlignment="1" applyProtection="1">
      <alignment horizontal="left"/>
      <protection/>
    </xf>
    <xf numFmtId="174" fontId="0" fillId="0" borderId="21" xfId="0" applyBorder="1" applyAlignment="1" applyProtection="1">
      <alignment horizontal="fill"/>
      <protection/>
    </xf>
    <xf numFmtId="174" fontId="0" fillId="0" borderId="19" xfId="0" applyBorder="1" applyAlignment="1" applyProtection="1">
      <alignment horizontal="fill"/>
      <protection/>
    </xf>
    <xf numFmtId="174" fontId="0" fillId="0" borderId="25" xfId="0" applyBorder="1" applyAlignment="1" applyProtection="1">
      <alignment/>
      <protection/>
    </xf>
    <xf numFmtId="174" fontId="0" fillId="0" borderId="23" xfId="0" applyBorder="1" applyAlignment="1" applyProtection="1">
      <alignment/>
      <protection/>
    </xf>
    <xf numFmtId="174" fontId="0" fillId="0" borderId="24" xfId="0" applyBorder="1" applyAlignment="1" applyProtection="1">
      <alignment/>
      <protection/>
    </xf>
    <xf numFmtId="174" fontId="0" fillId="0" borderId="23" xfId="0" applyBorder="1" applyAlignment="1" applyProtection="1">
      <alignment horizontal="fill"/>
      <protection/>
    </xf>
    <xf numFmtId="174" fontId="0" fillId="0" borderId="24" xfId="0" applyBorder="1" applyAlignment="1" applyProtection="1">
      <alignment horizontal="fill"/>
      <protection/>
    </xf>
    <xf numFmtId="174" fontId="3" fillId="0" borderId="0" xfId="0" applyFont="1" applyBorder="1" applyAlignment="1" applyProtection="1">
      <alignment/>
      <protection/>
    </xf>
    <xf numFmtId="174" fontId="9" fillId="0" borderId="0" xfId="0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/>
      <protection/>
    </xf>
    <xf numFmtId="174" fontId="3" fillId="0" borderId="0" xfId="0" applyNumberFormat="1" applyFont="1" applyBorder="1" applyAlignment="1" applyProtection="1">
      <alignment/>
      <protection/>
    </xf>
    <xf numFmtId="174" fontId="4" fillId="0" borderId="0" xfId="0" applyFont="1" applyAlignment="1" applyProtection="1">
      <alignment horizontal="left"/>
      <protection/>
    </xf>
    <xf numFmtId="174" fontId="0" fillId="0" borderId="23" xfId="0" applyBorder="1" applyAlignment="1" applyProtection="1" quotePrefix="1">
      <alignment/>
      <protection/>
    </xf>
    <xf numFmtId="174" fontId="0" fillId="0" borderId="0" xfId="0" applyFill="1" applyBorder="1" applyAlignment="1" applyProtection="1" quotePrefix="1">
      <alignment/>
      <protection/>
    </xf>
    <xf numFmtId="174" fontId="3" fillId="0" borderId="0" xfId="0" applyFont="1" applyAlignment="1" applyProtection="1">
      <alignment/>
      <protection/>
    </xf>
    <xf numFmtId="182" fontId="3" fillId="0" borderId="0" xfId="0" applyNumberFormat="1" applyFont="1" applyAlignment="1" applyProtection="1">
      <alignment/>
      <protection/>
    </xf>
    <xf numFmtId="174" fontId="3" fillId="0" borderId="0" xfId="0" applyNumberFormat="1" applyFont="1" applyAlignment="1" applyProtection="1">
      <alignment/>
      <protection/>
    </xf>
    <xf numFmtId="174" fontId="11" fillId="33" borderId="0" xfId="0" applyFont="1" applyFill="1" applyAlignment="1" applyProtection="1">
      <alignment horizontal="left"/>
      <protection/>
    </xf>
    <xf numFmtId="174" fontId="8" fillId="0" borderId="0" xfId="0" applyFont="1" applyAlignment="1" applyProtection="1">
      <alignment/>
      <protection/>
    </xf>
    <xf numFmtId="174" fontId="7" fillId="0" borderId="0" xfId="0" applyFont="1" applyAlignment="1" applyProtection="1">
      <alignment/>
      <protection/>
    </xf>
    <xf numFmtId="174" fontId="7" fillId="0" borderId="0" xfId="0" applyFont="1" applyAlignment="1" applyProtection="1" quotePrefix="1">
      <alignment/>
      <protection/>
    </xf>
    <xf numFmtId="174" fontId="7" fillId="0" borderId="0" xfId="0" applyFont="1" applyAlignment="1" applyProtection="1" quotePrefix="1">
      <alignment horizontal="fill"/>
      <protection/>
    </xf>
    <xf numFmtId="174" fontId="7" fillId="33" borderId="0" xfId="0" applyFont="1" applyFill="1" applyAlignment="1" applyProtection="1">
      <alignment horizontal="left"/>
      <protection/>
    </xf>
    <xf numFmtId="174" fontId="0" fillId="0" borderId="0" xfId="0" applyFont="1" applyAlignment="1" applyProtection="1" quotePrefix="1">
      <alignment/>
      <protection/>
    </xf>
    <xf numFmtId="174" fontId="9" fillId="0" borderId="0" xfId="0" applyFont="1" applyAlignment="1" applyProtection="1">
      <alignment/>
      <protection/>
    </xf>
    <xf numFmtId="174" fontId="12" fillId="33" borderId="0" xfId="0" applyFont="1" applyFill="1" applyAlignment="1" applyProtection="1">
      <alignment horizontal="left"/>
      <protection/>
    </xf>
    <xf numFmtId="174" fontId="12" fillId="33" borderId="0" xfId="0" applyFont="1" applyFill="1" applyAlignment="1" applyProtection="1">
      <alignment horizontal="right"/>
      <protection/>
    </xf>
    <xf numFmtId="174" fontId="11" fillId="33" borderId="0" xfId="0" applyFont="1" applyFill="1" applyAlignment="1" applyProtection="1">
      <alignment horizontal="right"/>
      <protection/>
    </xf>
    <xf numFmtId="190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 quotePrefix="1">
      <alignment horizontal="fill"/>
      <protection/>
    </xf>
    <xf numFmtId="3" fontId="4" fillId="0" borderId="0" xfId="0" applyNumberFormat="1" applyFont="1" applyAlignment="1" applyProtection="1">
      <alignment horizontal="fill"/>
      <protection/>
    </xf>
    <xf numFmtId="185" fontId="0" fillId="0" borderId="0" xfId="0" applyNumberFormat="1" applyAlignment="1" applyProtection="1" quotePrefix="1">
      <alignment horizontal="fill"/>
      <protection/>
    </xf>
    <xf numFmtId="191" fontId="0" fillId="0" borderId="0" xfId="0" applyNumberFormat="1" applyAlignment="1" applyProtection="1">
      <alignment/>
      <protection/>
    </xf>
    <xf numFmtId="1" fontId="7" fillId="33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fill"/>
      <protection/>
    </xf>
    <xf numFmtId="1" fontId="0" fillId="0" borderId="0" xfId="0" applyNumberFormat="1" applyAlignment="1" applyProtection="1" quotePrefix="1">
      <alignment horizontal="fill"/>
      <protection/>
    </xf>
    <xf numFmtId="174" fontId="0" fillId="0" borderId="13" xfId="0" applyBorder="1" applyAlignment="1" applyProtection="1" quotePrefix="1">
      <alignment/>
      <protection/>
    </xf>
    <xf numFmtId="174" fontId="0" fillId="0" borderId="0" xfId="0" applyNumberFormat="1" applyBorder="1" applyAlignment="1" applyProtection="1" quotePrefix="1">
      <alignment/>
      <protection/>
    </xf>
    <xf numFmtId="174" fontId="0" fillId="34" borderId="0" xfId="0" applyFill="1" applyAlignment="1" applyProtection="1">
      <alignment horizontal="fill"/>
      <protection locked="0"/>
    </xf>
    <xf numFmtId="174" fontId="4" fillId="0" borderId="0" xfId="0" applyNumberFormat="1" applyFont="1" applyAlignment="1" applyProtection="1" quotePrefix="1">
      <alignment/>
      <protection/>
    </xf>
    <xf numFmtId="174" fontId="0" fillId="0" borderId="26" xfId="0" applyBorder="1" applyAlignment="1" applyProtection="1">
      <alignment/>
      <protection/>
    </xf>
    <xf numFmtId="174" fontId="0" fillId="0" borderId="27" xfId="0" applyBorder="1" applyAlignment="1" applyProtection="1">
      <alignment/>
      <protection/>
    </xf>
    <xf numFmtId="174" fontId="0" fillId="34" borderId="0" xfId="0" applyFill="1" applyBorder="1" applyAlignment="1" applyProtection="1">
      <alignment/>
      <protection/>
    </xf>
    <xf numFmtId="185" fontId="7" fillId="0" borderId="0" xfId="0" applyNumberFormat="1" applyFont="1" applyBorder="1" applyAlignment="1" applyProtection="1">
      <alignment/>
      <protection/>
    </xf>
    <xf numFmtId="174" fontId="7" fillId="0" borderId="0" xfId="0" applyFont="1" applyBorder="1" applyAlignment="1" applyProtection="1">
      <alignment/>
      <protection/>
    </xf>
    <xf numFmtId="185" fontId="7" fillId="35" borderId="0" xfId="0" applyNumberFormat="1" applyFont="1" applyFill="1" applyBorder="1" applyAlignment="1" applyProtection="1">
      <alignment horizontal="right"/>
      <protection/>
    </xf>
    <xf numFmtId="1" fontId="7" fillId="35" borderId="0" xfId="0" applyNumberFormat="1" applyFont="1" applyFill="1" applyBorder="1" applyAlignment="1" applyProtection="1">
      <alignment horizontal="right"/>
      <protection/>
    </xf>
    <xf numFmtId="174" fontId="4" fillId="0" borderId="0" xfId="0" applyFont="1" applyAlignment="1" applyProtection="1">
      <alignment horizontal="right"/>
      <protection/>
    </xf>
    <xf numFmtId="174" fontId="0" fillId="0" borderId="0" xfId="0" applyBorder="1" applyAlignment="1" applyProtection="1">
      <alignment horizontal="fill"/>
      <protection/>
    </xf>
    <xf numFmtId="174" fontId="0" fillId="0" borderId="22" xfId="0" applyBorder="1" applyAlignment="1" applyProtection="1">
      <alignment horizontal="fill"/>
      <protection/>
    </xf>
    <xf numFmtId="174" fontId="4" fillId="0" borderId="0" xfId="0" applyFont="1" applyAlignment="1" applyProtection="1">
      <alignment horizontal="center"/>
      <protection/>
    </xf>
    <xf numFmtId="174" fontId="0" fillId="0" borderId="0" xfId="0" applyAlignment="1" applyProtection="1" quotePrefix="1">
      <alignment horizontal="center"/>
      <protection/>
    </xf>
    <xf numFmtId="3" fontId="4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 quotePrefix="1">
      <alignment/>
      <protection/>
    </xf>
    <xf numFmtId="3" fontId="0" fillId="0" borderId="0" xfId="0" applyNumberFormat="1" applyAlignment="1" applyProtection="1" quotePrefix="1">
      <alignment horizontal="center"/>
      <protection/>
    </xf>
    <xf numFmtId="3" fontId="0" fillId="0" borderId="13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Alignment="1" applyProtection="1">
      <alignment horizontal="left"/>
      <protection/>
    </xf>
    <xf numFmtId="3" fontId="0" fillId="0" borderId="17" xfId="0" applyNumberFormat="1" applyBorder="1" applyAlignment="1" applyProtection="1">
      <alignment/>
      <protection/>
    </xf>
    <xf numFmtId="3" fontId="4" fillId="0" borderId="0" xfId="0" applyNumberFormat="1" applyFont="1" applyBorder="1" applyAlignment="1" applyProtection="1" quotePrefix="1">
      <alignment/>
      <protection/>
    </xf>
    <xf numFmtId="3" fontId="6" fillId="0" borderId="0" xfId="0" applyNumberFormat="1" applyFont="1" applyAlignment="1" applyProtection="1">
      <alignment/>
      <protection/>
    </xf>
    <xf numFmtId="3" fontId="0" fillId="0" borderId="0" xfId="0" applyNumberFormat="1" applyBorder="1" applyAlignment="1" applyProtection="1">
      <alignment horizontal="right"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 horizontal="fill"/>
      <protection/>
    </xf>
    <xf numFmtId="185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85" fontId="0" fillId="0" borderId="28" xfId="0" applyNumberFormat="1" applyBorder="1" applyAlignment="1" applyProtection="1">
      <alignment/>
      <protection/>
    </xf>
    <xf numFmtId="174" fontId="15" fillId="0" borderId="0" xfId="0" applyFon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174" fontId="8" fillId="0" borderId="0" xfId="0" applyFont="1" applyBorder="1" applyAlignment="1" applyProtection="1">
      <alignment/>
      <protection/>
    </xf>
    <xf numFmtId="174" fontId="7" fillId="0" borderId="0" xfId="0" applyFont="1" applyBorder="1" applyAlignment="1" applyProtection="1" quotePrefix="1">
      <alignment/>
      <protection/>
    </xf>
    <xf numFmtId="174" fontId="7" fillId="0" borderId="0" xfId="0" applyFont="1" applyBorder="1" applyAlignment="1" applyProtection="1" quotePrefix="1">
      <alignment horizontal="fill"/>
      <protection/>
    </xf>
    <xf numFmtId="174" fontId="11" fillId="33" borderId="0" xfId="0" applyFont="1" applyFill="1" applyBorder="1" applyAlignment="1" applyProtection="1">
      <alignment horizontal="left"/>
      <protection/>
    </xf>
    <xf numFmtId="174" fontId="7" fillId="0" borderId="29" xfId="0" applyFont="1" applyBorder="1" applyAlignment="1" applyProtection="1">
      <alignment horizontal="left"/>
      <protection/>
    </xf>
    <xf numFmtId="174" fontId="7" fillId="0" borderId="30" xfId="0" applyFont="1" applyBorder="1" applyAlignment="1" applyProtection="1">
      <alignment horizontal="left"/>
      <protection/>
    </xf>
    <xf numFmtId="174" fontId="7" fillId="0" borderId="31" xfId="0" applyFont="1" applyBorder="1" applyAlignment="1" applyProtection="1">
      <alignment horizontal="left"/>
      <protection/>
    </xf>
    <xf numFmtId="174" fontId="11" fillId="0" borderId="26" xfId="0" applyFont="1" applyBorder="1" applyAlignment="1" applyProtection="1">
      <alignment/>
      <protection/>
    </xf>
    <xf numFmtId="174" fontId="11" fillId="0" borderId="27" xfId="0" applyFont="1" applyBorder="1" applyAlignment="1" applyProtection="1">
      <alignment/>
      <protection/>
    </xf>
    <xf numFmtId="174" fontId="0" fillId="0" borderId="0" xfId="0" applyFont="1" applyBorder="1" applyAlignment="1" applyProtection="1" quotePrefix="1">
      <alignment/>
      <protection/>
    </xf>
    <xf numFmtId="1" fontId="0" fillId="0" borderId="0" xfId="0" applyNumberFormat="1" applyBorder="1" applyAlignment="1" applyProtection="1" quotePrefix="1">
      <alignment horizontal="fill"/>
      <protection/>
    </xf>
    <xf numFmtId="49" fontId="11" fillId="33" borderId="29" xfId="0" applyNumberFormat="1" applyFont="1" applyFill="1" applyBorder="1" applyAlignment="1" applyProtection="1">
      <alignment horizontal="left"/>
      <protection/>
    </xf>
    <xf numFmtId="174" fontId="5" fillId="0" borderId="30" xfId="0" applyFont="1" applyBorder="1" applyAlignment="1" applyProtection="1">
      <alignment horizontal="left"/>
      <protection/>
    </xf>
    <xf numFmtId="49" fontId="7" fillId="33" borderId="31" xfId="0" applyNumberFormat="1" applyFont="1" applyFill="1" applyBorder="1" applyAlignment="1" applyProtection="1">
      <alignment horizontal="left"/>
      <protection/>
    </xf>
    <xf numFmtId="1" fontId="11" fillId="33" borderId="29" xfId="0" applyNumberFormat="1" applyFont="1" applyFill="1" applyBorder="1" applyAlignment="1" applyProtection="1">
      <alignment horizontal="left"/>
      <protection/>
    </xf>
    <xf numFmtId="3" fontId="10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32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174" fontId="6" fillId="0" borderId="32" xfId="0" applyFont="1" applyBorder="1" applyAlignment="1" applyProtection="1">
      <alignment/>
      <protection/>
    </xf>
    <xf numFmtId="185" fontId="6" fillId="0" borderId="32" xfId="0" applyNumberFormat="1" applyFont="1" applyBorder="1" applyAlignment="1" applyProtection="1">
      <alignment/>
      <protection/>
    </xf>
    <xf numFmtId="174" fontId="0" fillId="0" borderId="28" xfId="0" applyBorder="1" applyAlignment="1" applyProtection="1">
      <alignment/>
      <protection/>
    </xf>
    <xf numFmtId="4" fontId="13" fillId="0" borderId="32" xfId="0" applyNumberFormat="1" applyFont="1" applyBorder="1" applyAlignment="1" applyProtection="1">
      <alignment/>
      <protection/>
    </xf>
    <xf numFmtId="185" fontId="0" fillId="0" borderId="32" xfId="0" applyNumberFormat="1" applyBorder="1" applyAlignment="1" applyProtection="1">
      <alignment horizontal="center"/>
      <protection/>
    </xf>
    <xf numFmtId="174" fontId="0" fillId="0" borderId="32" xfId="0" applyBorder="1" applyAlignment="1" applyProtection="1">
      <alignment/>
      <protection/>
    </xf>
    <xf numFmtId="174" fontId="0" fillId="0" borderId="32" xfId="0" applyBorder="1" applyAlignment="1" applyProtection="1">
      <alignment horizontal="center"/>
      <protection/>
    </xf>
    <xf numFmtId="1" fontId="6" fillId="0" borderId="32" xfId="0" applyNumberFormat="1" applyFont="1" applyBorder="1" applyAlignment="1" applyProtection="1">
      <alignment/>
      <protection/>
    </xf>
    <xf numFmtId="3" fontId="0" fillId="0" borderId="32" xfId="0" applyNumberFormat="1" applyBorder="1" applyAlignment="1" applyProtection="1">
      <alignment/>
      <protection/>
    </xf>
    <xf numFmtId="3" fontId="6" fillId="0" borderId="0" xfId="0" applyNumberFormat="1" applyFont="1" applyBorder="1" applyAlignment="1" applyProtection="1" quotePrefix="1">
      <alignment/>
      <protection/>
    </xf>
    <xf numFmtId="174" fontId="6" fillId="0" borderId="0" xfId="0" applyFont="1" applyAlignment="1" applyProtection="1" quotePrefix="1">
      <alignment horizontal="center"/>
      <protection/>
    </xf>
    <xf numFmtId="174" fontId="6" fillId="0" borderId="0" xfId="0" applyFont="1" applyAlignment="1" applyProtection="1" quotePrefix="1">
      <alignment/>
      <protection/>
    </xf>
    <xf numFmtId="185" fontId="6" fillId="0" borderId="0" xfId="0" applyNumberFormat="1" applyFont="1" applyAlignment="1" applyProtection="1" quotePrefix="1">
      <alignment/>
      <protection/>
    </xf>
    <xf numFmtId="4" fontId="13" fillId="0" borderId="0" xfId="0" applyNumberFormat="1" applyFont="1" applyAlignment="1" applyProtection="1" quotePrefix="1">
      <alignment/>
      <protection/>
    </xf>
    <xf numFmtId="185" fontId="0" fillId="0" borderId="0" xfId="0" applyNumberFormat="1" applyAlignment="1" applyProtection="1" quotePrefix="1">
      <alignment horizontal="center"/>
      <protection/>
    </xf>
    <xf numFmtId="4" fontId="0" fillId="0" borderId="0" xfId="0" applyNumberFormat="1" applyAlignment="1" applyProtection="1" quotePrefix="1">
      <alignment horizontal="center"/>
      <protection/>
    </xf>
    <xf numFmtId="3" fontId="0" fillId="0" borderId="0" xfId="0" applyNumberFormat="1" applyFont="1" applyAlignment="1" applyProtection="1" quotePrefix="1">
      <alignment/>
      <protection/>
    </xf>
    <xf numFmtId="3" fontId="0" fillId="0" borderId="33" xfId="0" applyNumberFormat="1" applyBorder="1" applyAlignment="1" applyProtection="1">
      <alignment/>
      <protection/>
    </xf>
    <xf numFmtId="174" fontId="0" fillId="0" borderId="33" xfId="0" applyBorder="1" applyAlignment="1" applyProtection="1">
      <alignment/>
      <protection/>
    </xf>
    <xf numFmtId="188" fontId="6" fillId="0" borderId="33" xfId="0" applyNumberFormat="1" applyFont="1" applyBorder="1" applyAlignment="1" applyProtection="1">
      <alignment horizontal="center"/>
      <protection/>
    </xf>
    <xf numFmtId="185" fontId="6" fillId="0" borderId="33" xfId="0" applyNumberFormat="1" applyFont="1" applyBorder="1" applyAlignment="1" applyProtection="1">
      <alignment horizontal="center"/>
      <protection/>
    </xf>
    <xf numFmtId="188" fontId="0" fillId="0" borderId="28" xfId="0" applyNumberFormat="1" applyFont="1" applyBorder="1" applyAlignment="1" applyProtection="1">
      <alignment/>
      <protection/>
    </xf>
    <xf numFmtId="188" fontId="0" fillId="0" borderId="28" xfId="0" applyNumberFormat="1" applyBorder="1" applyAlignment="1" applyProtection="1">
      <alignment/>
      <protection/>
    </xf>
    <xf numFmtId="174" fontId="6" fillId="0" borderId="33" xfId="0" applyFont="1" applyBorder="1" applyAlignment="1" applyProtection="1">
      <alignment horizontal="center"/>
      <protection/>
    </xf>
    <xf numFmtId="10" fontId="4" fillId="0" borderId="28" xfId="0" applyNumberFormat="1" applyFont="1" applyBorder="1" applyAlignment="1" applyProtection="1">
      <alignment/>
      <protection/>
    </xf>
    <xf numFmtId="4" fontId="0" fillId="0" borderId="33" xfId="0" applyNumberFormat="1" applyBorder="1" applyAlignment="1" applyProtection="1">
      <alignment/>
      <protection/>
    </xf>
    <xf numFmtId="174" fontId="15" fillId="0" borderId="20" xfId="0" applyFont="1" applyBorder="1" applyAlignment="1" applyProtection="1">
      <alignment/>
      <protection/>
    </xf>
    <xf numFmtId="174" fontId="15" fillId="0" borderId="34" xfId="0" applyFont="1" applyBorder="1" applyAlignment="1" applyProtection="1">
      <alignment horizontal="center"/>
      <protection/>
    </xf>
    <xf numFmtId="174" fontId="6" fillId="0" borderId="35" xfId="0" applyFont="1" applyBorder="1" applyAlignment="1" applyProtection="1">
      <alignment horizontal="center"/>
      <protection/>
    </xf>
    <xf numFmtId="3" fontId="10" fillId="0" borderId="18" xfId="0" applyNumberFormat="1" applyFont="1" applyBorder="1" applyAlignment="1" applyProtection="1">
      <alignment/>
      <protection/>
    </xf>
    <xf numFmtId="3" fontId="0" fillId="0" borderId="18" xfId="0" applyNumberFormat="1" applyBorder="1" applyAlignment="1" applyProtection="1">
      <alignment/>
      <protection/>
    </xf>
    <xf numFmtId="3" fontId="0" fillId="0" borderId="18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0" fillId="0" borderId="23" xfId="0" applyNumberFormat="1" applyBorder="1" applyAlignment="1" applyProtection="1">
      <alignment/>
      <protection/>
    </xf>
    <xf numFmtId="3" fontId="6" fillId="0" borderId="36" xfId="0" applyNumberFormat="1" applyFont="1" applyBorder="1" applyAlignment="1" applyProtection="1">
      <alignment/>
      <protection/>
    </xf>
    <xf numFmtId="174" fontId="15" fillId="0" borderId="20" xfId="0" applyFont="1" applyBorder="1" applyAlignment="1" applyProtection="1">
      <alignment horizontal="center"/>
      <protection/>
    </xf>
    <xf numFmtId="174" fontId="14" fillId="0" borderId="21" xfId="0" applyFont="1" applyBorder="1" applyAlignment="1" applyProtection="1">
      <alignment horizontal="center"/>
      <protection/>
    </xf>
    <xf numFmtId="174" fontId="6" fillId="0" borderId="19" xfId="0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/>
      <protection/>
    </xf>
    <xf numFmtId="3" fontId="0" fillId="0" borderId="25" xfId="0" applyNumberFormat="1" applyBorder="1" applyAlignment="1" applyProtection="1">
      <alignment/>
      <protection/>
    </xf>
    <xf numFmtId="3" fontId="0" fillId="0" borderId="36" xfId="0" applyNumberFormat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/>
      <protection/>
    </xf>
    <xf numFmtId="174" fontId="15" fillId="0" borderId="21" xfId="0" applyFont="1" applyBorder="1" applyAlignment="1" applyProtection="1">
      <alignment horizontal="center"/>
      <protection/>
    </xf>
    <xf numFmtId="3" fontId="4" fillId="0" borderId="23" xfId="0" applyNumberFormat="1" applyFont="1" applyBorder="1" applyAlignment="1" applyProtection="1">
      <alignment/>
      <protection/>
    </xf>
    <xf numFmtId="174" fontId="6" fillId="0" borderId="21" xfId="0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/>
      <protection/>
    </xf>
    <xf numFmtId="174" fontId="6" fillId="0" borderId="21" xfId="0" applyFont="1" applyBorder="1" applyAlignment="1" applyProtection="1" quotePrefix="1">
      <alignment horizontal="center"/>
      <protection/>
    </xf>
    <xf numFmtId="3" fontId="6" fillId="0" borderId="23" xfId="0" applyNumberFormat="1" applyFont="1" applyBorder="1" applyAlignment="1" applyProtection="1" quotePrefix="1">
      <alignment/>
      <protection/>
    </xf>
    <xf numFmtId="174" fontId="15" fillId="0" borderId="37" xfId="0" applyFont="1" applyBorder="1" applyAlignment="1" applyProtection="1">
      <alignment horizontal="center"/>
      <protection/>
    </xf>
    <xf numFmtId="174" fontId="10" fillId="0" borderId="18" xfId="0" applyFont="1" applyBorder="1" applyAlignment="1" applyProtection="1">
      <alignment/>
      <protection/>
    </xf>
    <xf numFmtId="174" fontId="6" fillId="0" borderId="22" xfId="0" applyFont="1" applyBorder="1" applyAlignment="1" applyProtection="1">
      <alignment/>
      <protection/>
    </xf>
    <xf numFmtId="174" fontId="0" fillId="0" borderId="18" xfId="0" applyBorder="1" applyAlignment="1" applyProtection="1" quotePrefix="1">
      <alignment/>
      <protection/>
    </xf>
    <xf numFmtId="185" fontId="6" fillId="0" borderId="22" xfId="0" applyNumberFormat="1" applyFont="1" applyBorder="1" applyAlignment="1" applyProtection="1">
      <alignment/>
      <protection/>
    </xf>
    <xf numFmtId="174" fontId="0" fillId="0" borderId="18" xfId="0" applyFont="1" applyBorder="1" applyAlignment="1" applyProtection="1" quotePrefix="1">
      <alignment/>
      <protection/>
    </xf>
    <xf numFmtId="174" fontId="10" fillId="0" borderId="18" xfId="0" applyFont="1" applyBorder="1" applyAlignment="1" applyProtection="1" quotePrefix="1">
      <alignment/>
      <protection/>
    </xf>
    <xf numFmtId="174" fontId="4" fillId="0" borderId="25" xfId="0" applyFont="1" applyBorder="1" applyAlignment="1" applyProtection="1" quotePrefix="1">
      <alignment/>
      <protection/>
    </xf>
    <xf numFmtId="174" fontId="4" fillId="0" borderId="23" xfId="0" applyFont="1" applyBorder="1" applyAlignment="1" applyProtection="1">
      <alignment/>
      <protection/>
    </xf>
    <xf numFmtId="185" fontId="6" fillId="0" borderId="38" xfId="0" applyNumberFormat="1" applyFont="1" applyBorder="1" applyAlignment="1" applyProtection="1">
      <alignment horizontal="center"/>
      <protection/>
    </xf>
    <xf numFmtId="185" fontId="6" fillId="0" borderId="36" xfId="0" applyNumberFormat="1" applyFont="1" applyBorder="1" applyAlignment="1" applyProtection="1">
      <alignment/>
      <protection/>
    </xf>
    <xf numFmtId="185" fontId="6" fillId="0" borderId="24" xfId="0" applyNumberFormat="1" applyFont="1" applyBorder="1" applyAlignment="1" applyProtection="1">
      <alignment/>
      <protection/>
    </xf>
    <xf numFmtId="174" fontId="10" fillId="0" borderId="37" xfId="0" applyFont="1" applyBorder="1" applyAlignment="1" applyProtection="1">
      <alignment/>
      <protection/>
    </xf>
    <xf numFmtId="4" fontId="13" fillId="0" borderId="22" xfId="0" applyNumberFormat="1" applyFont="1" applyBorder="1" applyAlignment="1" applyProtection="1">
      <alignment/>
      <protection/>
    </xf>
    <xf numFmtId="174" fontId="0" fillId="0" borderId="25" xfId="0" applyFont="1" applyBorder="1" applyAlignment="1" applyProtection="1">
      <alignment horizontal="left"/>
      <protection/>
    </xf>
    <xf numFmtId="174" fontId="4" fillId="0" borderId="38" xfId="0" applyFont="1" applyBorder="1" applyAlignment="1" applyProtection="1">
      <alignment horizontal="center"/>
      <protection/>
    </xf>
    <xf numFmtId="4" fontId="4" fillId="0" borderId="39" xfId="0" applyNumberFormat="1" applyFont="1" applyBorder="1" applyAlignment="1" applyProtection="1">
      <alignment/>
      <protection/>
    </xf>
    <xf numFmtId="174" fontId="0" fillId="0" borderId="36" xfId="0" applyBorder="1" applyAlignment="1" applyProtection="1">
      <alignment/>
      <protection/>
    </xf>
    <xf numFmtId="174" fontId="5" fillId="0" borderId="20" xfId="0" applyFont="1" applyBorder="1" applyAlignment="1" applyProtection="1">
      <alignment/>
      <protection/>
    </xf>
    <xf numFmtId="185" fontId="0" fillId="0" borderId="22" xfId="0" applyNumberFormat="1" applyBorder="1" applyAlignment="1" applyProtection="1">
      <alignment horizontal="center"/>
      <protection/>
    </xf>
    <xf numFmtId="4" fontId="6" fillId="0" borderId="38" xfId="0" applyNumberFormat="1" applyFont="1" applyBorder="1" applyAlignment="1" applyProtection="1">
      <alignment horizontal="center"/>
      <protection/>
    </xf>
    <xf numFmtId="4" fontId="0" fillId="0" borderId="39" xfId="0" applyNumberFormat="1" applyBorder="1" applyAlignment="1" applyProtection="1">
      <alignment/>
      <protection/>
    </xf>
    <xf numFmtId="4" fontId="0" fillId="0" borderId="36" xfId="0" applyNumberFormat="1" applyBorder="1" applyAlignment="1" applyProtection="1">
      <alignment horizontal="center"/>
      <protection/>
    </xf>
    <xf numFmtId="4" fontId="0" fillId="0" borderId="24" xfId="0" applyNumberFormat="1" applyBorder="1" applyAlignment="1" applyProtection="1">
      <alignment horizontal="center"/>
      <protection/>
    </xf>
    <xf numFmtId="174" fontId="6" fillId="0" borderId="37" xfId="0" applyFont="1" applyBorder="1" applyAlignment="1" applyProtection="1">
      <alignment horizontal="center"/>
      <protection/>
    </xf>
    <xf numFmtId="174" fontId="6" fillId="0" borderId="21" xfId="0" applyFont="1" applyBorder="1" applyAlignment="1" applyProtection="1">
      <alignment/>
      <protection/>
    </xf>
    <xf numFmtId="3" fontId="0" fillId="0" borderId="19" xfId="0" applyNumberFormat="1" applyBorder="1" applyAlignment="1" applyProtection="1">
      <alignment/>
      <protection/>
    </xf>
    <xf numFmtId="174" fontId="6" fillId="0" borderId="23" xfId="0" applyFont="1" applyBorder="1" applyAlignment="1" applyProtection="1">
      <alignment/>
      <protection/>
    </xf>
    <xf numFmtId="3" fontId="0" fillId="0" borderId="24" xfId="0" applyNumberFormat="1" applyBorder="1" applyAlignment="1" applyProtection="1">
      <alignment/>
      <protection/>
    </xf>
    <xf numFmtId="3" fontId="0" fillId="0" borderId="22" xfId="0" applyNumberFormat="1" applyBorder="1" applyAlignment="1" applyProtection="1">
      <alignment/>
      <protection/>
    </xf>
    <xf numFmtId="3" fontId="0" fillId="0" borderId="38" xfId="0" applyNumberFormat="1" applyBorder="1" applyAlignment="1" applyProtection="1">
      <alignment/>
      <protection/>
    </xf>
    <xf numFmtId="3" fontId="0" fillId="0" borderId="22" xfId="0" applyNumberFormat="1" applyBorder="1" applyAlignment="1" applyProtection="1">
      <alignment horizontal="center"/>
      <protection/>
    </xf>
    <xf numFmtId="3" fontId="0" fillId="0" borderId="24" xfId="0" applyNumberFormat="1" applyBorder="1" applyAlignment="1" applyProtection="1">
      <alignment horizontal="center"/>
      <protection/>
    </xf>
    <xf numFmtId="188" fontId="0" fillId="0" borderId="22" xfId="0" applyNumberFormat="1" applyFont="1" applyBorder="1" applyAlignment="1" applyProtection="1">
      <alignment horizontal="center"/>
      <protection/>
    </xf>
    <xf numFmtId="188" fontId="0" fillId="0" borderId="22" xfId="0" applyNumberFormat="1" applyBorder="1" applyAlignment="1" applyProtection="1">
      <alignment horizontal="center"/>
      <protection/>
    </xf>
    <xf numFmtId="188" fontId="6" fillId="0" borderId="38" xfId="0" applyNumberFormat="1" applyFont="1" applyBorder="1" applyAlignment="1" applyProtection="1">
      <alignment horizontal="center"/>
      <protection/>
    </xf>
    <xf numFmtId="188" fontId="0" fillId="0" borderId="39" xfId="0" applyNumberFormat="1" applyBorder="1" applyAlignment="1" applyProtection="1">
      <alignment/>
      <protection/>
    </xf>
    <xf numFmtId="1" fontId="6" fillId="0" borderId="22" xfId="0" applyNumberFormat="1" applyFont="1" applyBorder="1" applyAlignment="1" applyProtection="1">
      <alignment/>
      <protection/>
    </xf>
    <xf numFmtId="1" fontId="6" fillId="0" borderId="36" xfId="0" applyNumberFormat="1" applyFont="1" applyBorder="1" applyAlignment="1" applyProtection="1">
      <alignment/>
      <protection/>
    </xf>
    <xf numFmtId="1" fontId="6" fillId="0" borderId="24" xfId="0" applyNumberFormat="1" applyFont="1" applyBorder="1" applyAlignment="1" applyProtection="1">
      <alignment/>
      <protection/>
    </xf>
    <xf numFmtId="174" fontId="0" fillId="0" borderId="22" xfId="0" applyBorder="1" applyAlignment="1" applyProtection="1">
      <alignment horizontal="center"/>
      <protection/>
    </xf>
    <xf numFmtId="185" fontId="0" fillId="0" borderId="39" xfId="0" applyNumberFormat="1" applyBorder="1" applyAlignment="1" applyProtection="1">
      <alignment/>
      <protection/>
    </xf>
    <xf numFmtId="174" fontId="0" fillId="0" borderId="36" xfId="0" applyBorder="1" applyAlignment="1" applyProtection="1">
      <alignment horizontal="center"/>
      <protection/>
    </xf>
    <xf numFmtId="174" fontId="0" fillId="0" borderId="24" xfId="0" applyBorder="1" applyAlignment="1" applyProtection="1">
      <alignment horizontal="center"/>
      <protection/>
    </xf>
    <xf numFmtId="182" fontId="10" fillId="0" borderId="28" xfId="0" applyNumberFormat="1" applyFont="1" applyBorder="1" applyAlignment="1" applyProtection="1">
      <alignment/>
      <protection/>
    </xf>
    <xf numFmtId="182" fontId="0" fillId="0" borderId="28" xfId="0" applyNumberFormat="1" applyBorder="1" applyAlignment="1" applyProtection="1">
      <alignment/>
      <protection/>
    </xf>
    <xf numFmtId="182" fontId="0" fillId="0" borderId="28" xfId="0" applyNumberFormat="1" applyFont="1" applyBorder="1" applyAlignment="1" applyProtection="1">
      <alignment/>
      <protection/>
    </xf>
    <xf numFmtId="182" fontId="4" fillId="0" borderId="39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/>
      <protection/>
    </xf>
    <xf numFmtId="182" fontId="0" fillId="0" borderId="0" xfId="0" applyNumberFormat="1" applyFont="1" applyBorder="1" applyAlignment="1" applyProtection="1">
      <alignment/>
      <protection/>
    </xf>
    <xf numFmtId="182" fontId="4" fillId="0" borderId="23" xfId="0" applyNumberFormat="1" applyFont="1" applyBorder="1" applyAlignment="1" applyProtection="1">
      <alignment/>
      <protection/>
    </xf>
    <xf numFmtId="182" fontId="0" fillId="0" borderId="32" xfId="0" applyNumberFormat="1" applyBorder="1" applyAlignment="1" applyProtection="1">
      <alignment/>
      <protection/>
    </xf>
    <xf numFmtId="182" fontId="0" fillId="0" borderId="22" xfId="0" applyNumberFormat="1" applyBorder="1" applyAlignment="1" applyProtection="1">
      <alignment/>
      <protection/>
    </xf>
    <xf numFmtId="182" fontId="0" fillId="0" borderId="39" xfId="0" applyNumberFormat="1" applyBorder="1" applyAlignment="1" applyProtection="1">
      <alignment/>
      <protection/>
    </xf>
    <xf numFmtId="182" fontId="0" fillId="0" borderId="36" xfId="0" applyNumberFormat="1" applyBorder="1" applyAlignment="1" applyProtection="1">
      <alignment horizontal="center"/>
      <protection/>
    </xf>
    <xf numFmtId="184" fontId="0" fillId="0" borderId="28" xfId="0" applyNumberFormat="1" applyFont="1" applyBorder="1" applyAlignment="1" applyProtection="1">
      <alignment horizontal="right"/>
      <protection/>
    </xf>
    <xf numFmtId="184" fontId="0" fillId="0" borderId="32" xfId="0" applyNumberFormat="1" applyBorder="1" applyAlignment="1" applyProtection="1">
      <alignment horizontal="center"/>
      <protection/>
    </xf>
    <xf numFmtId="184" fontId="0" fillId="0" borderId="22" xfId="0" applyNumberFormat="1" applyBorder="1" applyAlignment="1" applyProtection="1">
      <alignment horizontal="center"/>
      <protection/>
    </xf>
    <xf numFmtId="3" fontId="0" fillId="0" borderId="28" xfId="0" applyNumberFormat="1" applyBorder="1" applyAlignment="1" applyProtection="1">
      <alignment/>
      <protection/>
    </xf>
    <xf numFmtId="174" fontId="15" fillId="0" borderId="34" xfId="0" applyFont="1" applyBorder="1" applyAlignment="1" applyProtection="1">
      <alignment horizontal="right"/>
      <protection/>
    </xf>
    <xf numFmtId="174" fontId="69" fillId="0" borderId="0" xfId="0" applyFont="1" applyAlignment="1" applyProtection="1">
      <alignment/>
      <protection/>
    </xf>
    <xf numFmtId="174" fontId="0" fillId="0" borderId="0" xfId="0" applyAlignment="1" applyProtection="1" quotePrefix="1">
      <alignment horizontal="right"/>
      <protection/>
    </xf>
    <xf numFmtId="174" fontId="0" fillId="0" borderId="21" xfId="0" applyFont="1" applyBorder="1" applyAlignment="1" applyProtection="1">
      <alignment/>
      <protection/>
    </xf>
    <xf numFmtId="174" fontId="0" fillId="0" borderId="23" xfId="0" applyFont="1" applyBorder="1" applyAlignment="1" applyProtection="1">
      <alignment/>
      <protection/>
    </xf>
    <xf numFmtId="188" fontId="0" fillId="0" borderId="32" xfId="0" applyNumberFormat="1" applyBorder="1" applyAlignment="1" applyProtection="1">
      <alignment/>
      <protection/>
    </xf>
    <xf numFmtId="174" fontId="15" fillId="0" borderId="0" xfId="0" applyFont="1" applyBorder="1" applyAlignment="1" applyProtection="1">
      <alignment horizontal="center"/>
      <protection/>
    </xf>
    <xf numFmtId="174" fontId="6" fillId="0" borderId="0" xfId="0" applyFont="1" applyBorder="1" applyAlignment="1" applyProtection="1">
      <alignment horizontal="center"/>
      <protection/>
    </xf>
    <xf numFmtId="185" fontId="0" fillId="0" borderId="0" xfId="0" applyNumberFormat="1" applyBorder="1" applyAlignment="1" applyProtection="1">
      <alignment horizontal="center"/>
      <protection/>
    </xf>
    <xf numFmtId="188" fontId="0" fillId="0" borderId="0" xfId="0" applyNumberFormat="1" applyFont="1" applyBorder="1" applyAlignment="1" applyProtection="1">
      <alignment/>
      <protection/>
    </xf>
    <xf numFmtId="188" fontId="0" fillId="0" borderId="0" xfId="0" applyNumberFormat="1" applyBorder="1" applyAlignment="1" applyProtection="1">
      <alignment/>
      <protection/>
    </xf>
    <xf numFmtId="188" fontId="0" fillId="0" borderId="23" xfId="0" applyNumberFormat="1" applyBorder="1" applyAlignment="1" applyProtection="1">
      <alignment/>
      <protection/>
    </xf>
    <xf numFmtId="188" fontId="0" fillId="0" borderId="24" xfId="0" applyNumberFormat="1" applyBorder="1" applyAlignment="1" applyProtection="1">
      <alignment horizontal="center"/>
      <protection/>
    </xf>
    <xf numFmtId="188" fontId="0" fillId="0" borderId="36" xfId="0" applyNumberFormat="1" applyBorder="1" applyAlignment="1" applyProtection="1">
      <alignment horizontal="center"/>
      <protection/>
    </xf>
    <xf numFmtId="174" fontId="6" fillId="0" borderId="22" xfId="0" applyFont="1" applyBorder="1" applyAlignment="1" applyProtection="1">
      <alignment horizontal="center"/>
      <protection/>
    </xf>
    <xf numFmtId="185" fontId="0" fillId="0" borderId="0" xfId="0" applyNumberFormat="1" applyBorder="1" applyAlignment="1" applyProtection="1" quotePrefix="1">
      <alignment/>
      <protection/>
    </xf>
    <xf numFmtId="185" fontId="6" fillId="0" borderId="0" xfId="0" applyNumberFormat="1" applyFont="1" applyBorder="1" applyAlignment="1" applyProtection="1" quotePrefix="1">
      <alignment horizontal="center"/>
      <protection/>
    </xf>
    <xf numFmtId="188" fontId="0" fillId="0" borderId="0" xfId="0" applyNumberFormat="1" applyFont="1" applyBorder="1" applyAlignment="1" applyProtection="1" quotePrefix="1">
      <alignment/>
      <protection/>
    </xf>
    <xf numFmtId="188" fontId="0" fillId="0" borderId="0" xfId="0" applyNumberFormat="1" applyBorder="1" applyAlignment="1" applyProtection="1" quotePrefix="1">
      <alignment/>
      <protection/>
    </xf>
    <xf numFmtId="3" fontId="0" fillId="0" borderId="0" xfId="0" applyNumberFormat="1" applyBorder="1" applyAlignment="1" applyProtection="1" quotePrefix="1">
      <alignment/>
      <protection/>
    </xf>
    <xf numFmtId="182" fontId="0" fillId="0" borderId="0" xfId="0" applyNumberFormat="1" applyBorder="1" applyAlignment="1" applyProtection="1" quotePrefix="1">
      <alignment/>
      <protection/>
    </xf>
    <xf numFmtId="3" fontId="0" fillId="0" borderId="0" xfId="0" applyNumberFormat="1" applyBorder="1" applyAlignment="1" applyProtection="1">
      <alignment horizontal="center"/>
      <protection/>
    </xf>
    <xf numFmtId="182" fontId="0" fillId="0" borderId="0" xfId="0" applyNumberFormat="1" applyBorder="1" applyAlignment="1" applyProtection="1">
      <alignment horizontal="center"/>
      <protection/>
    </xf>
    <xf numFmtId="185" fontId="6" fillId="0" borderId="23" xfId="0" applyNumberFormat="1" applyFont="1" applyBorder="1" applyAlignment="1" applyProtection="1" quotePrefix="1">
      <alignment horizontal="center"/>
      <protection/>
    </xf>
    <xf numFmtId="185" fontId="0" fillId="0" borderId="23" xfId="0" applyNumberFormat="1" applyBorder="1" applyAlignment="1" applyProtection="1">
      <alignment horizontal="center"/>
      <protection/>
    </xf>
    <xf numFmtId="185" fontId="0" fillId="0" borderId="23" xfId="0" applyNumberFormat="1" applyBorder="1" applyAlignment="1" applyProtection="1">
      <alignment/>
      <protection/>
    </xf>
    <xf numFmtId="185" fontId="0" fillId="0" borderId="24" xfId="0" applyNumberFormat="1" applyBorder="1" applyAlignment="1" applyProtection="1">
      <alignment horizontal="center"/>
      <protection/>
    </xf>
    <xf numFmtId="182" fontId="0" fillId="0" borderId="23" xfId="0" applyNumberFormat="1" applyBorder="1" applyAlignment="1" applyProtection="1">
      <alignment/>
      <protection/>
    </xf>
    <xf numFmtId="174" fontId="15" fillId="0" borderId="21" xfId="0" applyFont="1" applyBorder="1" applyAlignment="1" applyProtection="1">
      <alignment horizontal="right"/>
      <protection/>
    </xf>
    <xf numFmtId="182" fontId="10" fillId="0" borderId="0" xfId="0" applyNumberFormat="1" applyFont="1" applyBorder="1" applyAlignment="1" applyProtection="1" quotePrefix="1">
      <alignment/>
      <protection/>
    </xf>
    <xf numFmtId="182" fontId="0" fillId="0" borderId="0" xfId="0" applyNumberFormat="1" applyFont="1" applyBorder="1" applyAlignment="1" applyProtection="1" quotePrefix="1">
      <alignment/>
      <protection/>
    </xf>
    <xf numFmtId="174" fontId="6" fillId="0" borderId="0" xfId="0" applyFont="1" applyBorder="1" applyAlignment="1" applyProtection="1">
      <alignment/>
      <protection/>
    </xf>
    <xf numFmtId="185" fontId="6" fillId="0" borderId="0" xfId="0" applyNumberFormat="1" applyFont="1" applyBorder="1" applyAlignment="1" applyProtection="1">
      <alignment horizontal="center"/>
      <protection/>
    </xf>
    <xf numFmtId="185" fontId="6" fillId="0" borderId="0" xfId="0" applyNumberFormat="1" applyFont="1" applyBorder="1" applyAlignment="1" applyProtection="1">
      <alignment/>
      <protection/>
    </xf>
    <xf numFmtId="10" fontId="4" fillId="0" borderId="0" xfId="0" applyNumberFormat="1" applyFont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/>
      <protection/>
    </xf>
    <xf numFmtId="10" fontId="0" fillId="0" borderId="0" xfId="0" applyNumberFormat="1" applyFont="1" applyBorder="1" applyAlignment="1" applyProtection="1" quotePrefix="1">
      <alignment/>
      <protection/>
    </xf>
    <xf numFmtId="4" fontId="13" fillId="0" borderId="0" xfId="0" applyNumberFormat="1" applyFont="1" applyBorder="1" applyAlignment="1" applyProtection="1">
      <alignment/>
      <protection/>
    </xf>
    <xf numFmtId="4" fontId="0" fillId="0" borderId="23" xfId="0" applyNumberFormat="1" applyBorder="1" applyAlignment="1" applyProtection="1">
      <alignment/>
      <protection/>
    </xf>
    <xf numFmtId="174" fontId="0" fillId="0" borderId="0" xfId="0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>
      <alignment/>
      <protection/>
    </xf>
    <xf numFmtId="184" fontId="0" fillId="0" borderId="0" xfId="0" applyNumberFormat="1" applyFont="1" applyBorder="1" applyAlignment="1" applyProtection="1" quotePrefix="1">
      <alignment horizontal="left"/>
      <protection/>
    </xf>
    <xf numFmtId="184" fontId="0" fillId="0" borderId="0" xfId="0" applyNumberFormat="1" applyBorder="1" applyAlignment="1" applyProtection="1">
      <alignment horizontal="center"/>
      <protection/>
    </xf>
    <xf numFmtId="184" fontId="0" fillId="0" borderId="0" xfId="0" applyNumberFormat="1" applyFont="1" applyBorder="1" applyAlignment="1" applyProtection="1">
      <alignment horizontal="right"/>
      <protection/>
    </xf>
    <xf numFmtId="184" fontId="0" fillId="0" borderId="0" xfId="0" applyNumberFormat="1" applyBorder="1" applyAlignment="1" applyProtection="1" quotePrefix="1">
      <alignment/>
      <protection/>
    </xf>
    <xf numFmtId="184" fontId="0" fillId="0" borderId="0" xfId="0" applyNumberFormat="1" applyBorder="1" applyAlignment="1" applyProtection="1">
      <alignment/>
      <protection/>
    </xf>
    <xf numFmtId="174" fontId="6" fillId="0" borderId="19" xfId="0" applyFont="1" applyBorder="1" applyAlignment="1" applyProtection="1" quotePrefix="1">
      <alignment horizontal="center"/>
      <protection/>
    </xf>
    <xf numFmtId="3" fontId="6" fillId="0" borderId="22" xfId="0" applyNumberFormat="1" applyFont="1" applyBorder="1" applyAlignment="1" applyProtection="1" quotePrefix="1">
      <alignment/>
      <protection/>
    </xf>
    <xf numFmtId="182" fontId="0" fillId="0" borderId="23" xfId="0" applyNumberFormat="1" applyFont="1" applyBorder="1" applyAlignment="1" applyProtection="1" quotePrefix="1">
      <alignment/>
      <protection/>
    </xf>
    <xf numFmtId="3" fontId="6" fillId="0" borderId="24" xfId="0" applyNumberFormat="1" applyFont="1" applyBorder="1" applyAlignment="1" applyProtection="1" quotePrefix="1">
      <alignment/>
      <protection/>
    </xf>
    <xf numFmtId="185" fontId="6" fillId="0" borderId="23" xfId="0" applyNumberFormat="1" applyFont="1" applyBorder="1" applyAlignment="1" applyProtection="1">
      <alignment horizontal="center"/>
      <protection/>
    </xf>
    <xf numFmtId="185" fontId="6" fillId="0" borderId="23" xfId="0" applyNumberFormat="1" applyFont="1" applyBorder="1" applyAlignment="1" applyProtection="1">
      <alignment/>
      <protection/>
    </xf>
    <xf numFmtId="174" fontId="10" fillId="0" borderId="21" xfId="0" applyFont="1" applyBorder="1" applyAlignment="1" applyProtection="1">
      <alignment/>
      <protection/>
    </xf>
    <xf numFmtId="174" fontId="4" fillId="0" borderId="23" xfId="0" applyFont="1" applyBorder="1" applyAlignment="1" applyProtection="1">
      <alignment horizontal="center"/>
      <protection/>
    </xf>
    <xf numFmtId="4" fontId="0" fillId="0" borderId="23" xfId="0" applyNumberFormat="1" applyFont="1" applyBorder="1" applyAlignment="1" applyProtection="1">
      <alignment/>
      <protection/>
    </xf>
    <xf numFmtId="4" fontId="6" fillId="0" borderId="23" xfId="0" applyNumberFormat="1" applyFont="1" applyBorder="1" applyAlignment="1" applyProtection="1" quotePrefix="1">
      <alignment horizontal="center"/>
      <protection/>
    </xf>
    <xf numFmtId="4" fontId="0" fillId="0" borderId="23" xfId="0" applyNumberFormat="1" applyBorder="1" applyAlignment="1" applyProtection="1" quotePrefix="1">
      <alignment/>
      <protection/>
    </xf>
    <xf numFmtId="4" fontId="0" fillId="0" borderId="23" xfId="0" applyNumberFormat="1" applyBorder="1" applyAlignment="1" applyProtection="1">
      <alignment horizontal="center"/>
      <protection/>
    </xf>
    <xf numFmtId="174" fontId="0" fillId="0" borderId="21" xfId="0" applyFont="1" applyBorder="1" applyAlignment="1" applyProtection="1">
      <alignment horizontal="left"/>
      <protection/>
    </xf>
    <xf numFmtId="174" fontId="0" fillId="0" borderId="21" xfId="0" applyFont="1" applyBorder="1" applyAlignment="1" applyProtection="1">
      <alignment horizontal="right"/>
      <protection/>
    </xf>
    <xf numFmtId="174" fontId="0" fillId="0" borderId="23" xfId="0" applyFont="1" applyBorder="1" applyAlignment="1" applyProtection="1">
      <alignment horizontal="left"/>
      <protection/>
    </xf>
    <xf numFmtId="174" fontId="0" fillId="0" borderId="23" xfId="0" applyFont="1" applyBorder="1" applyAlignment="1" applyProtection="1">
      <alignment horizontal="right"/>
      <protection/>
    </xf>
    <xf numFmtId="182" fontId="0" fillId="0" borderId="23" xfId="0" applyNumberFormat="1" applyBorder="1" applyAlignment="1" applyProtection="1" quotePrefix="1">
      <alignment/>
      <protection/>
    </xf>
    <xf numFmtId="1" fontId="6" fillId="0" borderId="23" xfId="0" applyNumberFormat="1" applyFont="1" applyBorder="1" applyAlignment="1" applyProtection="1">
      <alignment/>
      <protection/>
    </xf>
    <xf numFmtId="185" fontId="0" fillId="0" borderId="23" xfId="0" applyNumberFormat="1" applyBorder="1" applyAlignment="1" applyProtection="1" quotePrefix="1">
      <alignment/>
      <protection/>
    </xf>
    <xf numFmtId="174" fontId="0" fillId="0" borderId="23" xfId="0" applyBorder="1" applyAlignment="1" applyProtection="1">
      <alignment horizontal="center"/>
      <protection/>
    </xf>
    <xf numFmtId="192" fontId="0" fillId="0" borderId="0" xfId="0" applyNumberFormat="1" applyAlignment="1" applyProtection="1">
      <alignment/>
      <protection/>
    </xf>
    <xf numFmtId="192" fontId="13" fillId="0" borderId="21" xfId="0" applyNumberFormat="1" applyFont="1" applyBorder="1" applyAlignment="1" applyProtection="1">
      <alignment horizontal="left"/>
      <protection/>
    </xf>
    <xf numFmtId="174" fontId="13" fillId="0" borderId="21" xfId="0" applyFont="1" applyBorder="1" applyAlignment="1" applyProtection="1">
      <alignment horizontal="left"/>
      <protection/>
    </xf>
    <xf numFmtId="3" fontId="6" fillId="0" borderId="33" xfId="0" applyNumberFormat="1" applyFont="1" applyBorder="1" applyAlignment="1" applyProtection="1">
      <alignment horizontal="center"/>
      <protection/>
    </xf>
    <xf numFmtId="3" fontId="0" fillId="0" borderId="33" xfId="0" applyNumberFormat="1" applyFont="1" applyBorder="1" applyAlignment="1" applyProtection="1">
      <alignment/>
      <protection/>
    </xf>
    <xf numFmtId="3" fontId="6" fillId="0" borderId="38" xfId="0" applyNumberFormat="1" applyFont="1" applyBorder="1" applyAlignment="1" applyProtection="1">
      <alignment horizontal="center"/>
      <protection/>
    </xf>
    <xf numFmtId="174" fontId="26" fillId="0" borderId="0" xfId="0" applyFont="1" applyAlignment="1" applyProtection="1">
      <alignment/>
      <protection/>
    </xf>
    <xf numFmtId="174" fontId="26" fillId="0" borderId="0" xfId="0" applyFont="1" applyFill="1" applyBorder="1" applyAlignment="1" applyProtection="1">
      <alignment/>
      <protection/>
    </xf>
    <xf numFmtId="3" fontId="6" fillId="0" borderId="23" xfId="0" applyNumberFormat="1" applyFont="1" applyBorder="1" applyAlignment="1" applyProtection="1">
      <alignment horizontal="center"/>
      <protection/>
    </xf>
    <xf numFmtId="174" fontId="0" fillId="34" borderId="0" xfId="0" applyFill="1" applyAlignment="1" applyProtection="1" quotePrefix="1">
      <alignment/>
      <protection/>
    </xf>
    <xf numFmtId="174" fontId="0" fillId="34" borderId="0" xfId="0" applyFill="1" applyAlignment="1" applyProtection="1" quotePrefix="1">
      <alignment horizontal="right"/>
      <protection/>
    </xf>
    <xf numFmtId="174" fontId="0" fillId="0" borderId="40" xfId="0" applyBorder="1" applyAlignment="1" applyProtection="1">
      <alignment/>
      <protection/>
    </xf>
    <xf numFmtId="174" fontId="0" fillId="0" borderId="41" xfId="0" applyBorder="1" applyAlignment="1" applyProtection="1">
      <alignment/>
      <protection/>
    </xf>
    <xf numFmtId="174" fontId="0" fillId="0" borderId="42" xfId="0" applyBorder="1" applyAlignment="1" applyProtection="1">
      <alignment/>
      <protection/>
    </xf>
    <xf numFmtId="174" fontId="0" fillId="34" borderId="40" xfId="0" applyFill="1" applyBorder="1" applyAlignment="1" applyProtection="1">
      <alignment/>
      <protection/>
    </xf>
    <xf numFmtId="174" fontId="0" fillId="34" borderId="41" xfId="0" applyFill="1" applyBorder="1" applyAlignment="1" applyProtection="1">
      <alignment/>
      <protection/>
    </xf>
    <xf numFmtId="174" fontId="10" fillId="34" borderId="42" xfId="0" applyFont="1" applyFill="1" applyBorder="1" applyAlignment="1" applyProtection="1">
      <alignment/>
      <protection/>
    </xf>
    <xf numFmtId="174" fontId="16" fillId="0" borderId="21" xfId="0" applyFont="1" applyBorder="1" applyAlignment="1" applyProtection="1" quotePrefix="1">
      <alignment horizontal="left"/>
      <protection/>
    </xf>
    <xf numFmtId="174" fontId="19" fillId="0" borderId="0" xfId="0" applyFont="1" applyAlignment="1" applyProtection="1">
      <alignment horizontal="left"/>
      <protection/>
    </xf>
    <xf numFmtId="174" fontId="19" fillId="0" borderId="0" xfId="0" applyFont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174" fontId="4" fillId="0" borderId="0" xfId="0" applyFont="1" applyBorder="1" applyAlignment="1" applyProtection="1" quotePrefix="1">
      <alignment horizontal="right"/>
      <protection/>
    </xf>
    <xf numFmtId="174" fontId="0" fillId="0" borderId="0" xfId="0" applyFont="1" applyAlignment="1" applyProtection="1">
      <alignment horizontal="center"/>
      <protection/>
    </xf>
    <xf numFmtId="1" fontId="19" fillId="0" borderId="0" xfId="0" applyNumberFormat="1" applyFont="1" applyBorder="1" applyAlignment="1" applyProtection="1" quotePrefix="1">
      <alignment horizontal="left"/>
      <protection/>
    </xf>
    <xf numFmtId="174" fontId="19" fillId="0" borderId="0" xfId="0" applyFont="1" applyBorder="1" applyAlignment="1" applyProtection="1">
      <alignment horizontal="left"/>
      <protection/>
    </xf>
    <xf numFmtId="4" fontId="0" fillId="0" borderId="0" xfId="0" applyNumberFormat="1" applyBorder="1" applyAlignment="1" applyProtection="1">
      <alignment horizontal="left"/>
      <protection/>
    </xf>
    <xf numFmtId="4" fontId="0" fillId="0" borderId="0" xfId="0" applyNumberFormat="1" applyBorder="1" applyAlignment="1" applyProtection="1" quotePrefix="1">
      <alignment horizontal="left"/>
      <protection/>
    </xf>
    <xf numFmtId="3" fontId="0" fillId="36" borderId="43" xfId="0" applyNumberFormat="1" applyFill="1" applyBorder="1" applyAlignment="1" applyProtection="1">
      <alignment/>
      <protection locked="0"/>
    </xf>
    <xf numFmtId="3" fontId="4" fillId="0" borderId="20" xfId="0" applyNumberFormat="1" applyFont="1" applyBorder="1" applyAlignment="1" applyProtection="1">
      <alignment horizontal="center"/>
      <protection/>
    </xf>
    <xf numFmtId="3" fontId="4" fillId="0" borderId="21" xfId="0" applyNumberFormat="1" applyFont="1" applyBorder="1" applyAlignment="1" applyProtection="1">
      <alignment horizontal="center"/>
      <protection/>
    </xf>
    <xf numFmtId="3" fontId="4" fillId="0" borderId="19" xfId="0" applyNumberFormat="1" applyFont="1" applyBorder="1" applyAlignment="1" applyProtection="1">
      <alignment horizontal="center"/>
      <protection/>
    </xf>
    <xf numFmtId="3" fontId="4" fillId="0" borderId="25" xfId="0" applyNumberFormat="1" applyFont="1" applyBorder="1" applyAlignment="1" applyProtection="1">
      <alignment horizontal="center"/>
      <protection/>
    </xf>
    <xf numFmtId="3" fontId="4" fillId="0" borderId="23" xfId="0" applyNumberFormat="1" applyFont="1" applyBorder="1" applyAlignment="1" applyProtection="1">
      <alignment horizontal="center"/>
      <protection/>
    </xf>
    <xf numFmtId="3" fontId="4" fillId="0" borderId="24" xfId="0" applyNumberFormat="1" applyFont="1" applyBorder="1" applyAlignment="1" applyProtection="1">
      <alignment horizontal="center"/>
      <protection/>
    </xf>
    <xf numFmtId="174" fontId="0" fillId="0" borderId="40" xfId="0" applyFont="1" applyBorder="1" applyAlignment="1" applyProtection="1">
      <alignment/>
      <protection/>
    </xf>
    <xf numFmtId="174" fontId="0" fillId="0" borderId="41" xfId="0" applyBorder="1" applyAlignment="1" applyProtection="1">
      <alignment horizontal="fill"/>
      <protection/>
    </xf>
    <xf numFmtId="174" fontId="0" fillId="0" borderId="42" xfId="0" applyBorder="1" applyAlignment="1" applyProtection="1">
      <alignment horizontal="fill"/>
      <protection/>
    </xf>
    <xf numFmtId="174" fontId="6" fillId="0" borderId="23" xfId="0" applyFont="1" applyBorder="1" applyAlignment="1" applyProtection="1">
      <alignment horizontal="center"/>
      <protection/>
    </xf>
    <xf numFmtId="185" fontId="6" fillId="0" borderId="21" xfId="0" applyNumberFormat="1" applyFont="1" applyBorder="1" applyAlignment="1" applyProtection="1" quotePrefix="1">
      <alignment horizontal="center"/>
      <protection/>
    </xf>
    <xf numFmtId="174" fontId="0" fillId="0" borderId="21" xfId="0" applyBorder="1" applyAlignment="1" applyProtection="1" quotePrefix="1">
      <alignment/>
      <protection/>
    </xf>
    <xf numFmtId="185" fontId="0" fillId="36" borderId="43" xfId="0" applyNumberFormat="1" applyFill="1" applyBorder="1" applyAlignment="1" applyProtection="1">
      <alignment/>
      <protection locked="0"/>
    </xf>
    <xf numFmtId="174" fontId="11" fillId="0" borderId="0" xfId="0" applyFont="1" applyBorder="1" applyAlignment="1" applyProtection="1" quotePrefix="1">
      <alignment/>
      <protection/>
    </xf>
    <xf numFmtId="174" fontId="11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 quotePrefix="1">
      <alignment/>
      <protection/>
    </xf>
    <xf numFmtId="49" fontId="11" fillId="33" borderId="44" xfId="0" applyNumberFormat="1" applyFont="1" applyFill="1" applyBorder="1" applyAlignment="1" applyProtection="1">
      <alignment horizontal="left"/>
      <protection/>
    </xf>
    <xf numFmtId="1" fontId="11" fillId="33" borderId="45" xfId="0" applyNumberFormat="1" applyFont="1" applyFill="1" applyBorder="1" applyAlignment="1" applyProtection="1">
      <alignment horizontal="left"/>
      <protection/>
    </xf>
    <xf numFmtId="4" fontId="0" fillId="0" borderId="32" xfId="0" applyNumberFormat="1" applyBorder="1" applyAlignment="1" applyProtection="1">
      <alignment horizontal="center"/>
      <protection/>
    </xf>
    <xf numFmtId="4" fontId="0" fillId="0" borderId="22" xfId="0" applyNumberFormat="1" applyBorder="1" applyAlignment="1" applyProtection="1">
      <alignment horizontal="center"/>
      <protection/>
    </xf>
    <xf numFmtId="3" fontId="0" fillId="36" borderId="46" xfId="0" applyNumberFormat="1" applyFill="1" applyBorder="1" applyAlignment="1" applyProtection="1">
      <alignment/>
      <protection locked="0"/>
    </xf>
    <xf numFmtId="174" fontId="70" fillId="37" borderId="47" xfId="0" applyFont="1" applyFill="1" applyBorder="1" applyAlignment="1" applyProtection="1" quotePrefix="1">
      <alignment/>
      <protection/>
    </xf>
    <xf numFmtId="14" fontId="0" fillId="36" borderId="43" xfId="0" applyNumberFormat="1" applyFill="1" applyBorder="1" applyAlignment="1" applyProtection="1">
      <alignment/>
      <protection locked="0"/>
    </xf>
    <xf numFmtId="3" fontId="0" fillId="36" borderId="48" xfId="0" applyNumberFormat="1" applyFill="1" applyBorder="1" applyAlignment="1" applyProtection="1">
      <alignment/>
      <protection locked="0"/>
    </xf>
    <xf numFmtId="3" fontId="0" fillId="36" borderId="49" xfId="0" applyNumberFormat="1" applyFill="1" applyBorder="1" applyAlignment="1" applyProtection="1">
      <alignment/>
      <protection locked="0"/>
    </xf>
    <xf numFmtId="3" fontId="0" fillId="36" borderId="50" xfId="0" applyNumberFormat="1" applyFill="1" applyBorder="1" applyAlignment="1" applyProtection="1">
      <alignment/>
      <protection locked="0"/>
    </xf>
    <xf numFmtId="3" fontId="0" fillId="36" borderId="51" xfId="0" applyNumberFormat="1" applyFill="1" applyBorder="1" applyAlignment="1" applyProtection="1">
      <alignment/>
      <protection locked="0"/>
    </xf>
    <xf numFmtId="3" fontId="0" fillId="36" borderId="52" xfId="0" applyNumberFormat="1" applyFill="1" applyBorder="1" applyAlignment="1" applyProtection="1">
      <alignment/>
      <protection locked="0"/>
    </xf>
    <xf numFmtId="185" fontId="0" fillId="36" borderId="51" xfId="0" applyNumberFormat="1" applyFill="1" applyBorder="1" applyAlignment="1" applyProtection="1">
      <alignment/>
      <protection locked="0"/>
    </xf>
    <xf numFmtId="185" fontId="0" fillId="36" borderId="52" xfId="0" applyNumberFormat="1" applyFill="1" applyBorder="1" applyAlignment="1" applyProtection="1">
      <alignment/>
      <protection locked="0"/>
    </xf>
    <xf numFmtId="3" fontId="0" fillId="36" borderId="53" xfId="0" applyNumberFormat="1" applyFill="1" applyBorder="1" applyAlignment="1" applyProtection="1">
      <alignment/>
      <protection locked="0"/>
    </xf>
    <xf numFmtId="3" fontId="0" fillId="36" borderId="54" xfId="0" applyNumberFormat="1" applyFill="1" applyBorder="1" applyAlignment="1" applyProtection="1">
      <alignment/>
      <protection locked="0"/>
    </xf>
    <xf numFmtId="3" fontId="0" fillId="36" borderId="55" xfId="0" applyNumberFormat="1" applyFill="1" applyBorder="1" applyAlignment="1" applyProtection="1">
      <alignment/>
      <protection locked="0"/>
    </xf>
    <xf numFmtId="3" fontId="0" fillId="36" borderId="56" xfId="0" applyNumberFormat="1" applyFill="1" applyBorder="1" applyAlignment="1" applyProtection="1">
      <alignment/>
      <protection locked="0"/>
    </xf>
    <xf numFmtId="3" fontId="0" fillId="36" borderId="57" xfId="0" applyNumberFormat="1" applyFill="1" applyBorder="1" applyAlignment="1" applyProtection="1">
      <alignment/>
      <protection locked="0"/>
    </xf>
    <xf numFmtId="1" fontId="4" fillId="36" borderId="48" xfId="0" applyNumberFormat="1" applyFont="1" applyFill="1" applyBorder="1" applyAlignment="1" applyProtection="1">
      <alignment/>
      <protection locked="0"/>
    </xf>
    <xf numFmtId="1" fontId="4" fillId="36" borderId="49" xfId="0" applyNumberFormat="1" applyFont="1" applyFill="1" applyBorder="1" applyAlignment="1" applyProtection="1">
      <alignment/>
      <protection locked="0"/>
    </xf>
    <xf numFmtId="1" fontId="4" fillId="36" borderId="50" xfId="0" applyNumberFormat="1" applyFont="1" applyFill="1" applyBorder="1" applyAlignment="1" applyProtection="1">
      <alignment/>
      <protection locked="0"/>
    </xf>
    <xf numFmtId="14" fontId="0" fillId="36" borderId="51" xfId="0" applyNumberFormat="1" applyFill="1" applyBorder="1" applyAlignment="1" applyProtection="1">
      <alignment/>
      <protection locked="0"/>
    </xf>
    <xf numFmtId="14" fontId="0" fillId="36" borderId="52" xfId="0" applyNumberFormat="1" applyFill="1" applyBorder="1" applyAlignment="1" applyProtection="1">
      <alignment/>
      <protection locked="0"/>
    </xf>
    <xf numFmtId="174" fontId="71" fillId="37" borderId="50" xfId="0" applyFont="1" applyFill="1" applyBorder="1" applyAlignment="1" applyProtection="1" quotePrefix="1">
      <alignment/>
      <protection/>
    </xf>
    <xf numFmtId="174" fontId="71" fillId="37" borderId="52" xfId="0" applyFont="1" applyFill="1" applyBorder="1" applyAlignment="1" applyProtection="1" quotePrefix="1">
      <alignment/>
      <protection/>
    </xf>
    <xf numFmtId="3" fontId="70" fillId="37" borderId="54" xfId="0" applyNumberFormat="1" applyFont="1" applyFill="1" applyBorder="1" applyAlignment="1" applyProtection="1" quotePrefix="1">
      <alignment/>
      <protection/>
    </xf>
    <xf numFmtId="4" fontId="0" fillId="0" borderId="0" xfId="0" applyNumberFormat="1" applyAlignment="1" applyProtection="1">
      <alignment/>
      <protection/>
    </xf>
    <xf numFmtId="174" fontId="5" fillId="0" borderId="0" xfId="0" applyFont="1" applyAlignment="1" applyProtection="1">
      <alignment horizontal="right"/>
      <protection/>
    </xf>
    <xf numFmtId="174" fontId="72" fillId="0" borderId="0" xfId="0" applyFont="1" applyAlignment="1" applyProtection="1" quotePrefix="1">
      <alignment horizontal="left"/>
      <protection/>
    </xf>
    <xf numFmtId="174" fontId="73" fillId="0" borderId="0" xfId="0" applyFont="1" applyAlignment="1" applyProtection="1">
      <alignment/>
      <protection/>
    </xf>
    <xf numFmtId="174" fontId="72" fillId="0" borderId="0" xfId="0" applyFont="1" applyAlignment="1" applyProtection="1">
      <alignment horizontal="fill"/>
      <protection/>
    </xf>
    <xf numFmtId="174" fontId="74" fillId="0" borderId="0" xfId="0" applyFont="1" applyAlignment="1" applyProtection="1">
      <alignment/>
      <protection/>
    </xf>
    <xf numFmtId="174" fontId="72" fillId="0" borderId="0" xfId="0" applyFont="1" applyAlignment="1" applyProtection="1">
      <alignment/>
      <protection/>
    </xf>
    <xf numFmtId="174" fontId="4" fillId="34" borderId="0" xfId="0" applyFont="1" applyFill="1" applyAlignment="1" applyProtection="1">
      <alignment horizontal="fill"/>
      <protection locked="0"/>
    </xf>
    <xf numFmtId="3" fontId="72" fillId="0" borderId="0" xfId="0" applyNumberFormat="1" applyFont="1" applyAlignment="1" applyProtection="1">
      <alignment/>
      <protection/>
    </xf>
    <xf numFmtId="3" fontId="74" fillId="0" borderId="0" xfId="0" applyNumberFormat="1" applyFont="1" applyAlignment="1" applyProtection="1">
      <alignment/>
      <protection/>
    </xf>
    <xf numFmtId="3" fontId="75" fillId="0" borderId="0" xfId="0" applyNumberFormat="1" applyFont="1" applyAlignment="1" applyProtection="1">
      <alignment/>
      <protection/>
    </xf>
    <xf numFmtId="174" fontId="74" fillId="0" borderId="20" xfId="0" applyFont="1" applyBorder="1" applyAlignment="1" applyProtection="1">
      <alignment/>
      <protection/>
    </xf>
    <xf numFmtId="3" fontId="74" fillId="34" borderId="21" xfId="0" applyNumberFormat="1" applyFont="1" applyFill="1" applyBorder="1" applyAlignment="1" applyProtection="1">
      <alignment/>
      <protection/>
    </xf>
    <xf numFmtId="174" fontId="74" fillId="0" borderId="19" xfId="0" applyFont="1" applyBorder="1" applyAlignment="1" applyProtection="1">
      <alignment/>
      <protection/>
    </xf>
    <xf numFmtId="174" fontId="74" fillId="34" borderId="0" xfId="0" applyFont="1" applyFill="1" applyAlignment="1" applyProtection="1">
      <alignment/>
      <protection/>
    </xf>
    <xf numFmtId="3" fontId="74" fillId="34" borderId="0" xfId="0" applyNumberFormat="1" applyFont="1" applyFill="1" applyBorder="1" applyAlignment="1" applyProtection="1">
      <alignment/>
      <protection/>
    </xf>
    <xf numFmtId="174" fontId="74" fillId="0" borderId="22" xfId="0" applyFont="1" applyBorder="1" applyAlignment="1" applyProtection="1">
      <alignment/>
      <protection/>
    </xf>
    <xf numFmtId="174" fontId="74" fillId="0" borderId="25" xfId="0" applyFont="1" applyBorder="1" applyAlignment="1" applyProtection="1">
      <alignment/>
      <protection/>
    </xf>
    <xf numFmtId="174" fontId="74" fillId="0" borderId="23" xfId="0" applyFont="1" applyBorder="1" applyAlignment="1" applyProtection="1" quotePrefix="1">
      <alignment/>
      <protection/>
    </xf>
    <xf numFmtId="3" fontId="0" fillId="37" borderId="58" xfId="0" applyNumberFormat="1" applyFont="1" applyFill="1" applyBorder="1" applyAlignment="1" applyProtection="1">
      <alignment/>
      <protection/>
    </xf>
    <xf numFmtId="1" fontId="0" fillId="37" borderId="58" xfId="0" applyNumberFormat="1" applyFont="1" applyFill="1" applyBorder="1" applyAlignment="1" applyProtection="1">
      <alignment/>
      <protection/>
    </xf>
    <xf numFmtId="174" fontId="74" fillId="34" borderId="0" xfId="0" applyFont="1" applyFill="1" applyAlignment="1" applyProtection="1">
      <alignment horizontal="fill"/>
      <protection locked="0"/>
    </xf>
    <xf numFmtId="174" fontId="72" fillId="0" borderId="0" xfId="0" applyFont="1" applyAlignment="1" applyProtection="1">
      <alignment horizontal="center"/>
      <protection/>
    </xf>
    <xf numFmtId="174" fontId="4" fillId="0" borderId="0" xfId="0" applyFont="1" applyAlignment="1" applyProtection="1" quotePrefix="1">
      <alignment horizontal="center"/>
      <protection/>
    </xf>
    <xf numFmtId="174" fontId="76" fillId="38" borderId="0" xfId="0" applyFont="1" applyFill="1" applyAlignment="1" applyProtection="1">
      <alignment horizontal="left" vertical="top"/>
      <protection/>
    </xf>
    <xf numFmtId="174" fontId="77" fillId="38" borderId="0" xfId="0" applyFont="1" applyFill="1" applyAlignment="1" applyProtection="1">
      <alignment horizontal="left" vertical="top"/>
      <protection/>
    </xf>
    <xf numFmtId="174" fontId="77" fillId="38" borderId="0" xfId="0" applyFont="1" applyFill="1" applyAlignment="1" applyProtection="1">
      <alignment horizontal="fill"/>
      <protection/>
    </xf>
    <xf numFmtId="174" fontId="78" fillId="38" borderId="0" xfId="0" applyFont="1" applyFill="1" applyAlignment="1" applyProtection="1">
      <alignment/>
      <protection/>
    </xf>
    <xf numFmtId="174" fontId="78" fillId="38" borderId="0" xfId="0" applyFont="1" applyFill="1" applyAlignment="1" applyProtection="1" quotePrefix="1">
      <alignment/>
      <protection/>
    </xf>
    <xf numFmtId="174" fontId="78" fillId="38" borderId="0" xfId="0" applyFont="1" applyFill="1" applyAlignment="1" applyProtection="1" quotePrefix="1">
      <alignment horizontal="right"/>
      <protection/>
    </xf>
    <xf numFmtId="174" fontId="13" fillId="0" borderId="0" xfId="0" applyFont="1" applyAlignment="1" applyProtection="1" quotePrefix="1">
      <alignment horizontal="right"/>
      <protection/>
    </xf>
    <xf numFmtId="10" fontId="13" fillId="0" borderId="0" xfId="0" applyNumberFormat="1" applyFont="1" applyFill="1" applyBorder="1" applyAlignment="1" applyProtection="1" quotePrefix="1">
      <alignment horizontal="right"/>
      <protection/>
    </xf>
    <xf numFmtId="49" fontId="4" fillId="36" borderId="59" xfId="0" applyNumberFormat="1" applyFont="1" applyFill="1" applyBorder="1" applyAlignment="1" applyProtection="1">
      <alignment/>
      <protection locked="0"/>
    </xf>
    <xf numFmtId="49" fontId="0" fillId="36" borderId="60" xfId="0" applyNumberFormat="1" applyFill="1" applyBorder="1" applyAlignment="1" applyProtection="1">
      <alignment/>
      <protection locked="0"/>
    </xf>
    <xf numFmtId="49" fontId="0" fillId="36" borderId="61" xfId="0" applyNumberFormat="1" applyFill="1" applyBorder="1" applyAlignment="1" applyProtection="1">
      <alignment/>
      <protection locked="0"/>
    </xf>
    <xf numFmtId="49" fontId="0" fillId="36" borderId="62" xfId="0" applyNumberFormat="1" applyFill="1" applyBorder="1" applyAlignment="1" applyProtection="1">
      <alignment/>
      <protection locked="0"/>
    </xf>
    <xf numFmtId="49" fontId="0" fillId="36" borderId="63" xfId="0" applyNumberFormat="1" applyFill="1" applyBorder="1" applyAlignment="1" applyProtection="1" quotePrefix="1">
      <alignment/>
      <protection locked="0"/>
    </xf>
    <xf numFmtId="3" fontId="0" fillId="36" borderId="64" xfId="0" applyNumberFormat="1" applyFill="1" applyBorder="1" applyAlignment="1" applyProtection="1">
      <alignment/>
      <protection locked="0"/>
    </xf>
    <xf numFmtId="1" fontId="0" fillId="36" borderId="65" xfId="0" applyNumberFormat="1" applyFill="1" applyBorder="1" applyAlignment="1" applyProtection="1">
      <alignment/>
      <protection locked="0"/>
    </xf>
    <xf numFmtId="0" fontId="20" fillId="0" borderId="66" xfId="54" applyNumberFormat="1" applyFont="1" applyFill="1" applyBorder="1" applyAlignment="1" applyProtection="1">
      <alignment horizontal="left" vertical="top" wrapText="1"/>
      <protection/>
    </xf>
    <xf numFmtId="174" fontId="19" fillId="0" borderId="0" xfId="0" applyFont="1" applyAlignment="1" applyProtection="1" quotePrefix="1">
      <alignment horizontal="left"/>
      <protection/>
    </xf>
    <xf numFmtId="0" fontId="19" fillId="0" borderId="66" xfId="54" applyNumberFormat="1" applyFont="1" applyFill="1" applyBorder="1" applyAlignment="1" applyProtection="1">
      <alignment horizontal="left" vertical="top" wrapText="1"/>
      <protection/>
    </xf>
    <xf numFmtId="0" fontId="20" fillId="0" borderId="67" xfId="54" applyNumberFormat="1" applyFont="1" applyFill="1" applyBorder="1" applyAlignment="1" applyProtection="1">
      <alignment horizontal="left" vertical="top" wrapText="1"/>
      <protection/>
    </xf>
    <xf numFmtId="174" fontId="19" fillId="0" borderId="0" xfId="0" applyFont="1" applyFill="1" applyBorder="1" applyAlignment="1" applyProtection="1">
      <alignment horizontal="left"/>
      <protection/>
    </xf>
    <xf numFmtId="174" fontId="19" fillId="0" borderId="0" xfId="0" applyFont="1" applyFill="1" applyBorder="1" applyAlignment="1" applyProtection="1" quotePrefix="1">
      <alignment horizontal="left"/>
      <protection/>
    </xf>
    <xf numFmtId="49" fontId="4" fillId="36" borderId="68" xfId="0" applyNumberFormat="1" applyFont="1" applyFill="1" applyBorder="1" applyAlignment="1" applyProtection="1">
      <alignment/>
      <protection locked="0"/>
    </xf>
    <xf numFmtId="14" fontId="0" fillId="36" borderId="46" xfId="0" applyNumberFormat="1" applyFill="1" applyBorder="1" applyAlignment="1" applyProtection="1">
      <alignment/>
      <protection locked="0"/>
    </xf>
    <xf numFmtId="14" fontId="0" fillId="36" borderId="53" xfId="0" applyNumberFormat="1" applyFill="1" applyBorder="1" applyAlignment="1" applyProtection="1">
      <alignment/>
      <protection locked="0"/>
    </xf>
    <xf numFmtId="14" fontId="0" fillId="36" borderId="54" xfId="0" applyNumberFormat="1" applyFill="1" applyBorder="1" applyAlignment="1" applyProtection="1">
      <alignment/>
      <protection locked="0"/>
    </xf>
    <xf numFmtId="2" fontId="0" fillId="36" borderId="51" xfId="0" applyNumberFormat="1" applyFill="1" applyBorder="1" applyAlignment="1" applyProtection="1">
      <alignment/>
      <protection locked="0"/>
    </xf>
    <xf numFmtId="2" fontId="0" fillId="36" borderId="43" xfId="0" applyNumberFormat="1" applyFill="1" applyBorder="1" applyAlignment="1" applyProtection="1">
      <alignment/>
      <protection locked="0"/>
    </xf>
    <xf numFmtId="2" fontId="0" fillId="36" borderId="52" xfId="0" applyNumberFormat="1" applyFill="1" applyBorder="1" applyAlignment="1" applyProtection="1">
      <alignment/>
      <protection locked="0"/>
    </xf>
    <xf numFmtId="174" fontId="4" fillId="0" borderId="30" xfId="0" applyNumberFormat="1" applyFont="1" applyBorder="1" applyAlignment="1" applyProtection="1" quotePrefix="1">
      <alignment horizontal="center"/>
      <protection/>
    </xf>
    <xf numFmtId="174" fontId="4" fillId="0" borderId="33" xfId="0" applyNumberFormat="1" applyFont="1" applyBorder="1" applyAlignment="1" applyProtection="1" quotePrefix="1">
      <alignment horizontal="center"/>
      <protection/>
    </xf>
    <xf numFmtId="174" fontId="4" fillId="0" borderId="45" xfId="0" applyNumberFormat="1" applyFont="1" applyBorder="1" applyAlignment="1" applyProtection="1" quotePrefix="1">
      <alignment horizontal="center"/>
      <protection/>
    </xf>
    <xf numFmtId="174" fontId="0" fillId="0" borderId="29" xfId="0" applyFont="1" applyBorder="1" applyAlignment="1" applyProtection="1">
      <alignment horizontal="center"/>
      <protection/>
    </xf>
    <xf numFmtId="182" fontId="15" fillId="0" borderId="14" xfId="0" applyNumberFormat="1" applyFont="1" applyBorder="1" applyAlignment="1" applyProtection="1">
      <alignment horizontal="center"/>
      <protection/>
    </xf>
    <xf numFmtId="182" fontId="15" fillId="0" borderId="15" xfId="0" applyNumberFormat="1" applyFont="1" applyBorder="1" applyAlignment="1" applyProtection="1">
      <alignment horizontal="center"/>
      <protection/>
    </xf>
    <xf numFmtId="182" fontId="15" fillId="0" borderId="16" xfId="0" applyNumberFormat="1" applyFont="1" applyBorder="1" applyAlignment="1" applyProtection="1">
      <alignment horizontal="center"/>
      <protection/>
    </xf>
    <xf numFmtId="14" fontId="0" fillId="0" borderId="15" xfId="0" applyNumberFormat="1" applyBorder="1" applyAlignment="1" applyProtection="1" quotePrefix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 horizontal="right"/>
      <protection/>
    </xf>
    <xf numFmtId="174" fontId="0" fillId="0" borderId="0" xfId="0" applyAlignment="1" applyProtection="1">
      <alignment/>
      <protection/>
    </xf>
    <xf numFmtId="3" fontId="4" fillId="0" borderId="0" xfId="0" applyNumberFormat="1" applyFont="1" applyAlignment="1" applyProtection="1" quotePrefix="1">
      <alignment horizontal="fill"/>
      <protection/>
    </xf>
    <xf numFmtId="174" fontId="4" fillId="0" borderId="0" xfId="0" applyFont="1" applyAlignment="1" applyProtection="1" quotePrefix="1">
      <alignment horizontal="fill"/>
      <protection/>
    </xf>
    <xf numFmtId="185" fontId="7" fillId="0" borderId="0" xfId="0" applyNumberFormat="1" applyFont="1" applyBorder="1" applyAlignment="1" applyProtection="1" quotePrefix="1">
      <alignment/>
      <protection/>
    </xf>
    <xf numFmtId="185" fontId="19" fillId="36" borderId="0" xfId="0" applyNumberFormat="1" applyFont="1" applyFill="1" applyBorder="1" applyAlignment="1" applyProtection="1">
      <alignment/>
      <protection locked="0"/>
    </xf>
    <xf numFmtId="3" fontId="19" fillId="36" borderId="0" xfId="0" applyNumberFormat="1" applyFont="1" applyFill="1" applyBorder="1" applyAlignment="1" applyProtection="1">
      <alignment/>
      <protection locked="0"/>
    </xf>
    <xf numFmtId="185" fontId="19" fillId="39" borderId="0" xfId="0" applyNumberFormat="1" applyFont="1" applyFill="1" applyBorder="1" applyAlignment="1" applyProtection="1">
      <alignment horizontal="right"/>
      <protection locked="0"/>
    </xf>
    <xf numFmtId="3" fontId="19" fillId="39" borderId="0" xfId="0" applyNumberFormat="1" applyFont="1" applyFill="1" applyBorder="1" applyAlignment="1" applyProtection="1">
      <alignment horizontal="right"/>
      <protection locked="0"/>
    </xf>
    <xf numFmtId="4" fontId="19" fillId="39" borderId="0" xfId="0" applyNumberFormat="1" applyFont="1" applyFill="1" applyBorder="1" applyAlignment="1" applyProtection="1">
      <alignment horizontal="right"/>
      <protection locked="0"/>
    </xf>
    <xf numFmtId="174" fontId="12" fillId="33" borderId="0" xfId="0" applyFont="1" applyFill="1" applyBorder="1" applyAlignment="1" applyProtection="1">
      <alignment horizontal="right"/>
      <protection/>
    </xf>
    <xf numFmtId="1" fontId="12" fillId="33" borderId="0" xfId="0" applyNumberFormat="1" applyFont="1" applyFill="1" applyBorder="1" applyAlignment="1" applyProtection="1">
      <alignment horizontal="right"/>
      <protection/>
    </xf>
    <xf numFmtId="185" fontId="26" fillId="0" borderId="0" xfId="0" applyNumberFormat="1" applyFont="1" applyBorder="1" applyAlignment="1" applyProtection="1">
      <alignment horizontal="center"/>
      <protection/>
    </xf>
    <xf numFmtId="182" fontId="0" fillId="0" borderId="0" xfId="0" applyNumberFormat="1" applyFont="1" applyFill="1" applyBorder="1" applyAlignment="1" applyProtection="1" quotePrefix="1">
      <alignment/>
      <protection/>
    </xf>
    <xf numFmtId="174" fontId="6" fillId="0" borderId="21" xfId="0" applyFont="1" applyBorder="1" applyAlignment="1" applyProtection="1">
      <alignment horizontal="left"/>
      <protection/>
    </xf>
    <xf numFmtId="185" fontId="19" fillId="40" borderId="0" xfId="0" applyNumberFormat="1" applyFont="1" applyFill="1" applyBorder="1" applyAlignment="1" applyProtection="1">
      <alignment/>
      <protection/>
    </xf>
    <xf numFmtId="3" fontId="19" fillId="40" borderId="0" xfId="0" applyNumberFormat="1" applyFont="1" applyFill="1" applyBorder="1" applyAlignment="1" applyProtection="1">
      <alignment/>
      <protection/>
    </xf>
    <xf numFmtId="185" fontId="19" fillId="41" borderId="0" xfId="0" applyNumberFormat="1" applyFont="1" applyFill="1" applyBorder="1" applyAlignment="1" applyProtection="1">
      <alignment horizontal="right"/>
      <protection/>
    </xf>
    <xf numFmtId="3" fontId="19" fillId="41" borderId="0" xfId="0" applyNumberFormat="1" applyFont="1" applyFill="1" applyBorder="1" applyAlignment="1" applyProtection="1">
      <alignment horizontal="right"/>
      <protection/>
    </xf>
    <xf numFmtId="4" fontId="19" fillId="41" borderId="0" xfId="0" applyNumberFormat="1" applyFont="1" applyFill="1" applyBorder="1" applyAlignment="1" applyProtection="1">
      <alignment horizontal="right"/>
      <protection/>
    </xf>
    <xf numFmtId="1" fontId="19" fillId="41" borderId="0" xfId="0" applyNumberFormat="1" applyFont="1" applyFill="1" applyBorder="1" applyAlignment="1" applyProtection="1">
      <alignment horizontal="right"/>
      <protection/>
    </xf>
    <xf numFmtId="174" fontId="13" fillId="0" borderId="0" xfId="0" applyFont="1" applyAlignment="1" applyProtection="1" quotePrefix="1">
      <alignment/>
      <protection/>
    </xf>
    <xf numFmtId="14" fontId="13" fillId="0" borderId="15" xfId="0" applyNumberFormat="1" applyFont="1" applyBorder="1" applyAlignment="1" applyProtection="1">
      <alignment horizontal="right"/>
      <protection/>
    </xf>
    <xf numFmtId="14" fontId="13" fillId="0" borderId="16" xfId="0" applyNumberFormat="1" applyFont="1" applyBorder="1" applyAlignment="1" applyProtection="1">
      <alignment horizontal="right"/>
      <protection/>
    </xf>
    <xf numFmtId="182" fontId="0" fillId="0" borderId="14" xfId="0" applyNumberFormat="1" applyBorder="1" applyAlignment="1" applyProtection="1">
      <alignment/>
      <protection/>
    </xf>
    <xf numFmtId="182" fontId="0" fillId="0" borderId="15" xfId="0" applyNumberFormat="1" applyBorder="1" applyAlignment="1" applyProtection="1">
      <alignment/>
      <protection/>
    </xf>
    <xf numFmtId="182" fontId="0" fillId="0" borderId="16" xfId="0" applyNumberFormat="1" applyBorder="1" applyAlignment="1" applyProtection="1">
      <alignment/>
      <protection/>
    </xf>
    <xf numFmtId="14" fontId="13" fillId="0" borderId="10" xfId="0" applyNumberFormat="1" applyFont="1" applyBorder="1" applyAlignment="1" applyProtection="1">
      <alignment horizontal="left"/>
      <protection/>
    </xf>
    <xf numFmtId="14" fontId="13" fillId="0" borderId="11" xfId="0" applyNumberFormat="1" applyFont="1" applyBorder="1" applyAlignment="1" applyProtection="1">
      <alignment horizontal="left"/>
      <protection/>
    </xf>
    <xf numFmtId="174" fontId="10" fillId="0" borderId="0" xfId="0" applyFont="1" applyBorder="1" applyAlignment="1" applyProtection="1">
      <alignment horizontal="center"/>
      <protection/>
    </xf>
    <xf numFmtId="174" fontId="5" fillId="0" borderId="0" xfId="0" applyFont="1" applyBorder="1" applyAlignment="1" applyProtection="1">
      <alignment horizontal="right"/>
      <protection/>
    </xf>
    <xf numFmtId="14" fontId="13" fillId="0" borderId="15" xfId="0" applyNumberFormat="1" applyFont="1" applyBorder="1" applyAlignment="1" applyProtection="1" quotePrefix="1">
      <alignment horizontal="right"/>
      <protection/>
    </xf>
    <xf numFmtId="14" fontId="13" fillId="0" borderId="16" xfId="0" applyNumberFormat="1" applyFont="1" applyBorder="1" applyAlignment="1" applyProtection="1" quotePrefix="1">
      <alignment horizontal="right"/>
      <protection/>
    </xf>
    <xf numFmtId="14" fontId="13" fillId="0" borderId="14" xfId="0" applyNumberFormat="1" applyFont="1" applyBorder="1" applyAlignment="1" applyProtection="1" quotePrefix="1">
      <alignment horizontal="left"/>
      <protection/>
    </xf>
    <xf numFmtId="14" fontId="13" fillId="0" borderId="15" xfId="0" applyNumberFormat="1" applyFont="1" applyBorder="1" applyAlignment="1" applyProtection="1" quotePrefix="1">
      <alignment horizontal="left"/>
      <protection/>
    </xf>
    <xf numFmtId="14" fontId="13" fillId="0" borderId="14" xfId="0" applyNumberFormat="1" applyFont="1" applyBorder="1" applyAlignment="1" applyProtection="1">
      <alignment horizontal="left"/>
      <protection/>
    </xf>
    <xf numFmtId="14" fontId="13" fillId="0" borderId="15" xfId="0" applyNumberFormat="1" applyFont="1" applyBorder="1" applyAlignment="1" applyProtection="1">
      <alignment horizontal="left"/>
      <protection/>
    </xf>
    <xf numFmtId="182" fontId="5" fillId="0" borderId="13" xfId="0" applyNumberFormat="1" applyFont="1" applyBorder="1" applyAlignment="1" applyProtection="1">
      <alignment horizontal="center"/>
      <protection/>
    </xf>
    <xf numFmtId="182" fontId="5" fillId="0" borderId="0" xfId="0" applyNumberFormat="1" applyFont="1" applyBorder="1" applyAlignment="1" applyProtection="1">
      <alignment horizontal="center"/>
      <protection/>
    </xf>
    <xf numFmtId="182" fontId="5" fillId="0" borderId="17" xfId="0" applyNumberFormat="1" applyFont="1" applyBorder="1" applyAlignment="1" applyProtection="1">
      <alignment horizontal="center"/>
      <protection/>
    </xf>
    <xf numFmtId="185" fontId="13" fillId="0" borderId="11" xfId="0" applyNumberFormat="1" applyFont="1" applyBorder="1" applyAlignment="1" applyProtection="1">
      <alignment horizontal="right"/>
      <protection/>
    </xf>
    <xf numFmtId="185" fontId="13" fillId="0" borderId="12" xfId="0" applyNumberFormat="1" applyFont="1" applyBorder="1" applyAlignment="1" applyProtection="1">
      <alignment horizontal="right"/>
      <protection/>
    </xf>
    <xf numFmtId="182" fontId="13" fillId="0" borderId="10" xfId="0" applyNumberFormat="1" applyFont="1" applyBorder="1" applyAlignment="1" applyProtection="1">
      <alignment horizontal="center"/>
      <protection/>
    </xf>
    <xf numFmtId="182" fontId="13" fillId="0" borderId="11" xfId="0" applyNumberFormat="1" applyFont="1" applyBorder="1" applyAlignment="1" applyProtection="1">
      <alignment horizontal="center"/>
      <protection/>
    </xf>
    <xf numFmtId="182" fontId="13" fillId="0" borderId="12" xfId="0" applyNumberFormat="1" applyFont="1" applyBorder="1" applyAlignment="1" applyProtection="1">
      <alignment horizontal="center"/>
      <protection/>
    </xf>
    <xf numFmtId="14" fontId="0" fillId="0" borderId="10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182" fontId="5" fillId="0" borderId="10" xfId="0" applyNumberFormat="1" applyFont="1" applyBorder="1" applyAlignment="1" applyProtection="1">
      <alignment horizontal="center"/>
      <protection/>
    </xf>
    <xf numFmtId="182" fontId="5" fillId="0" borderId="11" xfId="0" applyNumberFormat="1" applyFont="1" applyBorder="1" applyAlignment="1" applyProtection="1">
      <alignment horizontal="center"/>
      <protection/>
    </xf>
    <xf numFmtId="182" fontId="5" fillId="0" borderId="12" xfId="0" applyNumberFormat="1" applyFont="1" applyBorder="1" applyAlignment="1" applyProtection="1">
      <alignment horizontal="center"/>
      <protection/>
    </xf>
    <xf numFmtId="182" fontId="13" fillId="0" borderId="14" xfId="0" applyNumberFormat="1" applyFont="1" applyBorder="1" applyAlignment="1" applyProtection="1">
      <alignment horizontal="center"/>
      <protection/>
    </xf>
    <xf numFmtId="182" fontId="13" fillId="0" borderId="15" xfId="0" applyNumberFormat="1" applyFont="1" applyBorder="1" applyAlignment="1" applyProtection="1">
      <alignment horizontal="center"/>
      <protection/>
    </xf>
    <xf numFmtId="182" fontId="13" fillId="0" borderId="16" xfId="0" applyNumberFormat="1" applyFont="1" applyBorder="1" applyAlignment="1" applyProtection="1">
      <alignment horizontal="center"/>
      <protection/>
    </xf>
    <xf numFmtId="174" fontId="0" fillId="0" borderId="14" xfId="0" applyBorder="1" applyAlignment="1" applyProtection="1">
      <alignment horizontal="center"/>
      <protection/>
    </xf>
    <xf numFmtId="174" fontId="0" fillId="0" borderId="15" xfId="0" applyBorder="1" applyAlignment="1" applyProtection="1">
      <alignment horizontal="center"/>
      <protection/>
    </xf>
    <xf numFmtId="174" fontId="0" fillId="0" borderId="16" xfId="0" applyBorder="1" applyAlignment="1" applyProtection="1">
      <alignment horizontal="center"/>
      <protection/>
    </xf>
    <xf numFmtId="174" fontId="0" fillId="0" borderId="10" xfId="0" applyBorder="1" applyAlignment="1" applyProtection="1">
      <alignment horizontal="center"/>
      <protection/>
    </xf>
    <xf numFmtId="174" fontId="0" fillId="0" borderId="11" xfId="0" applyBorder="1" applyAlignment="1" applyProtection="1">
      <alignment horizontal="center"/>
      <protection/>
    </xf>
    <xf numFmtId="174" fontId="0" fillId="0" borderId="12" xfId="0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n défini" xfId="49"/>
    <cellStyle name="Note" xfId="50"/>
    <cellStyle name="Percent" xfId="51"/>
    <cellStyle name="Satisfaisant" xfId="52"/>
    <cellStyle name="Sortie" xfId="53"/>
    <cellStyle name="Standaard_Blad1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19050</xdr:colOff>
      <xdr:row>69</xdr:row>
      <xdr:rowOff>57150</xdr:rowOff>
    </xdr:from>
    <xdr:to>
      <xdr:col>49</xdr:col>
      <xdr:colOff>57150</xdr:colOff>
      <xdr:row>69</xdr:row>
      <xdr:rowOff>57150</xdr:rowOff>
    </xdr:to>
    <xdr:sp>
      <xdr:nvSpPr>
        <xdr:cNvPr id="1" name="Connecteur droit 66"/>
        <xdr:cNvSpPr>
          <a:spLocks/>
        </xdr:cNvSpPr>
      </xdr:nvSpPr>
      <xdr:spPr>
        <a:xfrm>
          <a:off x="28622625" y="1708785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10 Pitch"/>
              <a:ea typeface="Courier 10 Pitch"/>
              <a:cs typeface="Courier 10 Pitch"/>
            </a:rPr>
            <a:t/>
          </a:r>
        </a:p>
      </xdr:txBody>
    </xdr:sp>
    <xdr:clientData/>
  </xdr:twoCellAnchor>
  <xdr:twoCellAnchor>
    <xdr:from>
      <xdr:col>35</xdr:col>
      <xdr:colOff>19050</xdr:colOff>
      <xdr:row>74</xdr:row>
      <xdr:rowOff>28575</xdr:rowOff>
    </xdr:from>
    <xdr:to>
      <xdr:col>42</xdr:col>
      <xdr:colOff>152400</xdr:colOff>
      <xdr:row>74</xdr:row>
      <xdr:rowOff>47625</xdr:rowOff>
    </xdr:to>
    <xdr:sp>
      <xdr:nvSpPr>
        <xdr:cNvPr id="2" name="Connecteur droit 68"/>
        <xdr:cNvSpPr>
          <a:spLocks/>
        </xdr:cNvSpPr>
      </xdr:nvSpPr>
      <xdr:spPr>
        <a:xfrm flipV="1">
          <a:off x="26489025" y="18297525"/>
          <a:ext cx="2000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10 Pitch"/>
              <a:ea typeface="Courier 10 Pitch"/>
              <a:cs typeface="Courier 10 Pitch"/>
            </a:rPr>
            <a:t/>
          </a:r>
        </a:p>
      </xdr:txBody>
    </xdr:sp>
    <xdr:clientData/>
  </xdr:twoCellAnchor>
  <xdr:twoCellAnchor>
    <xdr:from>
      <xdr:col>49</xdr:col>
      <xdr:colOff>28575</xdr:colOff>
      <xdr:row>74</xdr:row>
      <xdr:rowOff>19050</xdr:rowOff>
    </xdr:from>
    <xdr:to>
      <xdr:col>56</xdr:col>
      <xdr:colOff>104775</xdr:colOff>
      <xdr:row>74</xdr:row>
      <xdr:rowOff>28575</xdr:rowOff>
    </xdr:to>
    <xdr:sp>
      <xdr:nvSpPr>
        <xdr:cNvPr id="3" name="Connecteur droit 70"/>
        <xdr:cNvSpPr>
          <a:spLocks/>
        </xdr:cNvSpPr>
      </xdr:nvSpPr>
      <xdr:spPr>
        <a:xfrm flipV="1">
          <a:off x="30232350" y="18288000"/>
          <a:ext cx="1943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10 Pitch"/>
              <a:ea typeface="Courier 10 Pitch"/>
              <a:cs typeface="Courier 10 Pitch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S623"/>
  <sheetViews>
    <sheetView tabSelected="1" defaultGridColor="0" zoomScalePageLayoutView="0" colorId="22" workbookViewId="0" topLeftCell="A1">
      <selection activeCell="A1" sqref="A1"/>
    </sheetView>
  </sheetViews>
  <sheetFormatPr defaultColWidth="9.796875" defaultRowHeight="15"/>
  <cols>
    <col min="1" max="1" width="1.1015625" style="55" customWidth="1"/>
    <col min="2" max="2" width="13.19921875" style="55" customWidth="1"/>
    <col min="3" max="3" width="25" style="55" customWidth="1"/>
    <col min="4" max="4" width="12.19921875" style="55" customWidth="1"/>
    <col min="5" max="5" width="21.09765625" style="55" customWidth="1"/>
    <col min="6" max="6" width="13.59765625" style="55" customWidth="1"/>
    <col min="7" max="7" width="14.796875" style="55" customWidth="1"/>
    <col min="8" max="8" width="13.09765625" style="55" customWidth="1"/>
    <col min="9" max="9" width="1.59765625" style="55" customWidth="1"/>
    <col min="10" max="10" width="10" style="55" customWidth="1"/>
    <col min="11" max="11" width="10.5" style="55" customWidth="1"/>
    <col min="12" max="12" width="11.09765625" style="55" customWidth="1"/>
    <col min="13" max="13" width="2.19921875" style="55" customWidth="1"/>
    <col min="14" max="14" width="1.796875" style="55" customWidth="1"/>
    <col min="15" max="15" width="31.796875" style="55" customWidth="1"/>
    <col min="16" max="16" width="13.59765625" style="55" customWidth="1"/>
    <col min="17" max="17" width="12.5" style="55" customWidth="1"/>
    <col min="18" max="18" width="9.8984375" style="55" customWidth="1"/>
    <col min="19" max="19" width="10" style="55" customWidth="1"/>
    <col min="20" max="20" width="9.796875" style="55" customWidth="1"/>
    <col min="21" max="23" width="1.796875" style="55" customWidth="1"/>
    <col min="24" max="73" width="2.796875" style="55" customWidth="1"/>
    <col min="74" max="74" width="8.796875" style="55" customWidth="1"/>
    <col min="75" max="75" width="4.796875" style="55" customWidth="1"/>
    <col min="76" max="76" width="1.796875" style="55" customWidth="1"/>
    <col min="77" max="81" width="2.796875" style="55" customWidth="1"/>
    <col min="82" max="82" width="1.796875" style="55" customWidth="1"/>
    <col min="83" max="83" width="4.796875" style="55" customWidth="1"/>
    <col min="84" max="84" width="1.796875" style="55" customWidth="1"/>
    <col min="85" max="85" width="8.796875" style="55" customWidth="1"/>
    <col min="86" max="86" width="4.796875" style="55" customWidth="1"/>
    <col min="87" max="87" width="2.3984375" style="55" customWidth="1"/>
    <col min="88" max="88" width="13.8984375" style="55" customWidth="1"/>
    <col min="89" max="89" width="2.09765625" style="55" customWidth="1"/>
    <col min="90" max="91" width="9.796875" style="55" customWidth="1"/>
    <col min="92" max="92" width="10.5" style="55" customWidth="1"/>
    <col min="93" max="93" width="10.3984375" style="55" customWidth="1"/>
    <col min="94" max="94" width="9.796875" style="55" customWidth="1"/>
    <col min="95" max="95" width="6.09765625" style="55" customWidth="1"/>
    <col min="96" max="96" width="9.796875" style="55" customWidth="1"/>
    <col min="97" max="97" width="6" style="55" customWidth="1"/>
    <col min="98" max="98" width="9.796875" style="55" customWidth="1"/>
    <col min="99" max="99" width="6.09765625" style="55" customWidth="1"/>
    <col min="100" max="100" width="2.5" style="55" customWidth="1"/>
    <col min="101" max="101" width="2.19921875" style="55" customWidth="1"/>
    <col min="102" max="103" width="9.796875" style="55" customWidth="1"/>
    <col min="104" max="104" width="13.59765625" style="55" customWidth="1"/>
    <col min="105" max="105" width="10.09765625" style="55" customWidth="1"/>
    <col min="106" max="106" width="9.796875" style="55" customWidth="1"/>
    <col min="107" max="107" width="4.8984375" style="55" customWidth="1"/>
    <col min="108" max="108" width="9.796875" style="55" customWidth="1"/>
    <col min="109" max="109" width="5.19921875" style="55" customWidth="1"/>
    <col min="110" max="110" width="9.796875" style="55" customWidth="1"/>
    <col min="111" max="111" width="5.19921875" style="55" customWidth="1"/>
    <col min="112" max="112" width="2.19921875" style="55" customWidth="1"/>
    <col min="113" max="113" width="9.796875" style="55" customWidth="1"/>
    <col min="114" max="114" width="5.5" style="55" customWidth="1"/>
    <col min="115" max="115" width="23.19921875" style="55" customWidth="1"/>
    <col min="116" max="116" width="7.5" style="55" customWidth="1"/>
    <col min="117" max="117" width="7.59765625" style="55" customWidth="1"/>
    <col min="118" max="118" width="22" style="55" customWidth="1"/>
    <col min="119" max="119" width="19" style="55" customWidth="1"/>
    <col min="120" max="120" width="9.796875" style="55" customWidth="1"/>
    <col min="121" max="121" width="2.796875" style="55" customWidth="1"/>
    <col min="122" max="142" width="9.796875" style="55" customWidth="1"/>
    <col min="143" max="16384" width="9.796875" style="55" customWidth="1"/>
  </cols>
  <sheetData>
    <row r="1" ht="15" thickBot="1">
      <c r="DQ1" s="58" t="s">
        <v>231</v>
      </c>
    </row>
    <row r="2" spans="1:201" ht="19.5" customHeight="1" thickBot="1">
      <c r="A2" s="60"/>
      <c r="B2" s="446" t="s">
        <v>353</v>
      </c>
      <c r="C2" s="447"/>
      <c r="D2" s="448"/>
      <c r="F2" s="365" t="s">
        <v>361</v>
      </c>
      <c r="G2" s="366"/>
      <c r="H2" s="367"/>
      <c r="I2" s="57" t="s">
        <v>231</v>
      </c>
      <c r="J2" s="362" t="s">
        <v>362</v>
      </c>
      <c r="K2" s="363"/>
      <c r="L2" s="364"/>
      <c r="M2" s="58" t="s">
        <v>231</v>
      </c>
      <c r="P2" s="385" t="s">
        <v>2379</v>
      </c>
      <c r="Q2" s="364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385" t="s">
        <v>2245</v>
      </c>
      <c r="BD2" s="364"/>
      <c r="BE2" s="386"/>
      <c r="BF2" s="386"/>
      <c r="BG2" s="386"/>
      <c r="BH2" s="386"/>
      <c r="BI2" s="386"/>
      <c r="BJ2" s="386"/>
      <c r="BK2" s="387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V2" s="385" t="s">
        <v>2246</v>
      </c>
      <c r="CW2" s="363"/>
      <c r="CX2" s="386"/>
      <c r="CY2" s="387"/>
      <c r="CZ2" s="138"/>
      <c r="DA2" s="138"/>
      <c r="DB2" s="138"/>
      <c r="DC2" s="138"/>
      <c r="DD2" s="59"/>
      <c r="DE2" s="59"/>
      <c r="DF2" s="59"/>
      <c r="DG2" s="59"/>
      <c r="DH2" s="59"/>
      <c r="DI2" s="59"/>
      <c r="DJ2" s="59"/>
      <c r="DL2" s="385" t="s">
        <v>2247</v>
      </c>
      <c r="DM2" s="363"/>
      <c r="DN2" s="387"/>
      <c r="DO2" s="138"/>
      <c r="DP2" s="59"/>
      <c r="DQ2" s="57" t="s">
        <v>231</v>
      </c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</row>
    <row r="3" spans="2:121" ht="19.5" customHeight="1" thickBot="1">
      <c r="B3" s="449" t="s">
        <v>2396</v>
      </c>
      <c r="C3" s="450" t="s">
        <v>2395</v>
      </c>
      <c r="D3" s="451"/>
      <c r="G3" s="60"/>
      <c r="H3" s="61"/>
      <c r="I3" s="57"/>
      <c r="M3" s="58" t="s">
        <v>231</v>
      </c>
      <c r="DQ3" s="58" t="s">
        <v>231</v>
      </c>
    </row>
    <row r="4" spans="3:121" ht="19.5" customHeight="1" thickBot="1">
      <c r="C4" s="360"/>
      <c r="D4" s="361"/>
      <c r="G4" s="60"/>
      <c r="H4" s="61"/>
      <c r="I4" s="57"/>
      <c r="M4" s="58"/>
      <c r="P4" s="66"/>
      <c r="DI4" s="82"/>
      <c r="DJ4" s="368"/>
      <c r="DK4" s="83"/>
      <c r="DL4" s="83"/>
      <c r="DM4" s="83"/>
      <c r="DN4" s="83"/>
      <c r="DO4" s="83"/>
      <c r="DP4" s="84"/>
      <c r="DQ4" s="58" t="s">
        <v>231</v>
      </c>
    </row>
    <row r="5" spans="2:121" ht="19.5" customHeight="1" thickBot="1">
      <c r="B5" s="430" t="s">
        <v>2276</v>
      </c>
      <c r="C5" s="431"/>
      <c r="D5" s="432"/>
      <c r="F5" s="433" t="str">
        <f>LEFT(G11,4)</f>
        <v>2211</v>
      </c>
      <c r="G5" s="434" t="str">
        <f>+DK5</f>
        <v>Fabrication et rechapage de pneumatiques</v>
      </c>
      <c r="H5" s="435"/>
      <c r="I5" s="119" t="s">
        <v>231</v>
      </c>
      <c r="J5" s="55" t="str">
        <f>IF(F5="",0,F5)</f>
        <v>2211</v>
      </c>
      <c r="K5" s="33" t="str">
        <f>+G5</f>
        <v>Fabrication et rechapage de pneumatiques</v>
      </c>
      <c r="L5" s="33"/>
      <c r="M5" s="58" t="s">
        <v>231</v>
      </c>
      <c r="N5" s="55" t="s">
        <v>1</v>
      </c>
      <c r="O5" s="59" t="s">
        <v>0</v>
      </c>
      <c r="P5" s="59" t="s">
        <v>0</v>
      </c>
      <c r="Q5" s="59" t="s">
        <v>0</v>
      </c>
      <c r="R5" s="59" t="s">
        <v>0</v>
      </c>
      <c r="S5" s="59" t="s">
        <v>0</v>
      </c>
      <c r="T5" s="59" t="s">
        <v>0</v>
      </c>
      <c r="U5" s="55" t="s">
        <v>1</v>
      </c>
      <c r="DI5" s="85"/>
      <c r="DJ5" s="374" t="str">
        <f>+J5</f>
        <v>2211</v>
      </c>
      <c r="DK5" s="375" t="str">
        <f>VLOOKUP(DJ5,DJ9:DO623,2,FALSE)</f>
        <v>Fabrication et rechapage de pneumatiques</v>
      </c>
      <c r="DL5" s="375" t="str">
        <f>VLOOKUP(DJ5,DJ9:DO623,3,FALSE)</f>
        <v>PU2301</v>
      </c>
      <c r="DM5" s="375" t="str">
        <f>VLOOKUP(DJ5,DJ9:DO623,4,FALSE)</f>
        <v>PU2301</v>
      </c>
      <c r="DN5" s="375" t="str">
        <f>VLOOKUP(DJ5,DJ9:DO623,5,FALSE)</f>
        <v>Industrie du caoutchouc, transformation des matières plastiques</v>
      </c>
      <c r="DO5" s="375" t="str">
        <f>VLOOKUP(DJ5,DJ9:DO623,6,FALSE)</f>
        <v>22</v>
      </c>
      <c r="DP5" s="86"/>
      <c r="DQ5" s="58" t="s">
        <v>231</v>
      </c>
    </row>
    <row r="6" spans="2:121" ht="19.5" customHeight="1" thickBot="1" thickTop="1">
      <c r="B6" s="427" t="s">
        <v>2275</v>
      </c>
      <c r="C6" s="427"/>
      <c r="D6" s="436"/>
      <c r="F6" s="441" t="str">
        <f>+DM5</f>
        <v>PU2301</v>
      </c>
      <c r="G6" s="437" t="str">
        <f>+DN5</f>
        <v>Industrie du caoutchouc, transformation des matières plastiques</v>
      </c>
      <c r="H6" s="438"/>
      <c r="I6" s="58" t="s">
        <v>231</v>
      </c>
      <c r="J6" s="55" t="str">
        <f>+F6</f>
        <v>PU2301</v>
      </c>
      <c r="K6" s="33" t="str">
        <f>+G6</f>
        <v>Industrie du caoutchouc, transformation des matières plastiques</v>
      </c>
      <c r="M6" s="58" t="s">
        <v>231</v>
      </c>
      <c r="N6" s="55" t="s">
        <v>1</v>
      </c>
      <c r="O6" s="55" t="s">
        <v>2218</v>
      </c>
      <c r="P6" s="66" t="str">
        <f>+J9&amp;+" "&amp;+J10</f>
        <v>BRIDGESTONE AIRCRAFT TIRE (EUROPE) SA</v>
      </c>
      <c r="R6" s="66" t="str">
        <f>+"("&amp;+K9&amp;+")"</f>
        <v>(Frameries)</v>
      </c>
      <c r="S6" s="55" t="str">
        <f>+K10</f>
        <v>BE 0401.206.450</v>
      </c>
      <c r="U6" s="55" t="s">
        <v>1</v>
      </c>
      <c r="DI6" s="90"/>
      <c r="DJ6" s="91"/>
      <c r="DK6" s="91"/>
      <c r="DL6" s="91"/>
      <c r="DM6" s="91"/>
      <c r="DN6" s="91"/>
      <c r="DO6" s="91"/>
      <c r="DP6" s="92"/>
      <c r="DQ6" s="58" t="s">
        <v>231</v>
      </c>
    </row>
    <row r="7" spans="2:121" ht="19.5" customHeight="1" thickBot="1" thickTop="1">
      <c r="B7" s="431" t="s">
        <v>2391</v>
      </c>
      <c r="C7" s="427"/>
      <c r="D7" s="427"/>
      <c r="F7" s="439" t="str">
        <f>+DL5</f>
        <v>PU2301</v>
      </c>
      <c r="G7" s="440" t="str">
        <f>+DO5</f>
        <v>22</v>
      </c>
      <c r="H7" s="442">
        <v>2020</v>
      </c>
      <c r="I7" s="58" t="s">
        <v>231</v>
      </c>
      <c r="J7" s="55">
        <f>+H7</f>
        <v>2020</v>
      </c>
      <c r="K7" s="55" t="str">
        <f>+G7</f>
        <v>22</v>
      </c>
      <c r="M7" s="58" t="s">
        <v>231</v>
      </c>
      <c r="N7" s="55" t="s">
        <v>1</v>
      </c>
      <c r="O7" s="55" t="s">
        <v>322</v>
      </c>
      <c r="P7" s="55" t="str">
        <f>+B3</f>
        <v>[ Version 2023 ]</v>
      </c>
      <c r="Q7" s="351">
        <f>+T9</f>
        <v>44926</v>
      </c>
      <c r="R7" s="1">
        <f>J14</f>
        <v>2020</v>
      </c>
      <c r="S7" s="1">
        <f>K14</f>
        <v>2021</v>
      </c>
      <c r="T7" s="1">
        <f>L14</f>
        <v>2022</v>
      </c>
      <c r="U7" s="55" t="s">
        <v>1</v>
      </c>
      <c r="AA7" s="63" t="s">
        <v>2266</v>
      </c>
      <c r="AX7" s="63" t="str">
        <f>IF($J$9=" "," ",$P$6)</f>
        <v>BRIDGESTONE AIRCRAFT TIRE (EUROPE) SA</v>
      </c>
      <c r="BP7" s="423" t="str">
        <f>IF($K$9=" "," ",$R$6)</f>
        <v>(Frameries)</v>
      </c>
      <c r="BT7" s="67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8"/>
      <c r="CJ7" s="8"/>
      <c r="CL7" s="64" t="str">
        <f>+"SELECTION DES DONNEES UTILES AU DIAGNOSTIC FINANCIER DE "&amp;+P6&amp;+" ("&amp;+S6&amp;+")"</f>
        <v>SELECTION DES DONNEES UTILES AU DIAGNOSTIC FINANCIER DE BRIDGESTONE AIRCRAFT TIRE (EUROPE) SA (BE 0401.206.450)</v>
      </c>
      <c r="DG7" s="157" t="str">
        <f>+"(en kEur sauf indications spécifiques - Médiane du Secteur en "&amp;+FIXED(T13,0,TRUE)&amp;+")"</f>
        <v>(en kEur sauf indications spécifiques - Médiane du Secteur en 2022)</v>
      </c>
      <c r="DH7" s="58" t="s">
        <v>231</v>
      </c>
      <c r="DJ7" s="369" t="s">
        <v>2215</v>
      </c>
      <c r="DK7" s="370"/>
      <c r="DL7" s="369" t="s">
        <v>2216</v>
      </c>
      <c r="DM7" s="369" t="s">
        <v>561</v>
      </c>
      <c r="DN7" s="369"/>
      <c r="DO7" s="369" t="s">
        <v>2217</v>
      </c>
      <c r="DQ7" s="58" t="s">
        <v>231</v>
      </c>
    </row>
    <row r="8" spans="2:121" ht="19.5" customHeight="1" thickBot="1">
      <c r="B8" s="424" t="s">
        <v>2404</v>
      </c>
      <c r="C8" s="33"/>
      <c r="D8" s="33"/>
      <c r="E8" s="33"/>
      <c r="F8" s="371"/>
      <c r="G8" s="371"/>
      <c r="H8" s="371"/>
      <c r="I8" s="33"/>
      <c r="J8" s="143" t="s">
        <v>231</v>
      </c>
      <c r="K8" s="33"/>
      <c r="L8" s="33"/>
      <c r="M8" s="58" t="s">
        <v>231</v>
      </c>
      <c r="N8" s="55" t="s">
        <v>1</v>
      </c>
      <c r="O8" s="141" t="s">
        <v>328</v>
      </c>
      <c r="P8" s="55" t="s">
        <v>6</v>
      </c>
      <c r="R8" s="1" t="str">
        <f>RIGHT(FIXED(R7,0,TRUE),2)</f>
        <v>20</v>
      </c>
      <c r="S8" s="1" t="str">
        <f>RIGHT(FIXED(S7,0,TRUE),2)</f>
        <v>21</v>
      </c>
      <c r="T8" s="1" t="str">
        <f>RIGHT(FIXED(T7,0,TRUE),2)</f>
        <v>22</v>
      </c>
      <c r="U8" s="55" t="s">
        <v>1</v>
      </c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T8" s="68"/>
      <c r="BV8" s="60"/>
      <c r="BW8" s="26"/>
      <c r="BX8" s="26"/>
      <c r="BY8" s="60"/>
      <c r="BZ8" s="60"/>
      <c r="CA8" s="60"/>
      <c r="CB8" s="60"/>
      <c r="CC8" s="60"/>
      <c r="CD8" s="26"/>
      <c r="CE8" s="26"/>
      <c r="CF8" s="60"/>
      <c r="CG8" s="60"/>
      <c r="CH8" s="69"/>
      <c r="DJ8" s="369"/>
      <c r="DK8" s="370"/>
      <c r="DL8" s="369"/>
      <c r="DM8" s="369"/>
      <c r="DN8" s="369"/>
      <c r="DO8" s="369"/>
      <c r="DQ8" s="58" t="s">
        <v>231</v>
      </c>
    </row>
    <row r="9" spans="2:121" ht="19.5" customHeight="1" thickTop="1">
      <c r="B9" s="65" t="s">
        <v>2259</v>
      </c>
      <c r="C9" s="9"/>
      <c r="D9" s="64"/>
      <c r="E9" s="61"/>
      <c r="F9" s="454" t="s">
        <v>2387</v>
      </c>
      <c r="G9" s="467" t="s">
        <v>2389</v>
      </c>
      <c r="H9" s="419" t="s">
        <v>2260</v>
      </c>
      <c r="I9" s="373"/>
      <c r="J9" s="117" t="str">
        <f aca="true" t="shared" si="0" ref="J9:K12">+F9</f>
        <v>BRIDGESTONE AIRCRAFT TIRE (EUROPE)</v>
      </c>
      <c r="K9" s="117" t="str">
        <f>+G9</f>
        <v>Frameries</v>
      </c>
      <c r="L9" s="64"/>
      <c r="M9" s="58" t="s">
        <v>231</v>
      </c>
      <c r="N9" s="55" t="s">
        <v>1</v>
      </c>
      <c r="O9" s="141" t="s">
        <v>331</v>
      </c>
      <c r="P9" s="55" t="s">
        <v>320</v>
      </c>
      <c r="R9" s="116">
        <f aca="true" t="shared" si="1" ref="R9:T10">+J15</f>
        <v>44196</v>
      </c>
      <c r="S9" s="116">
        <f t="shared" si="1"/>
        <v>44561</v>
      </c>
      <c r="T9" s="116">
        <f t="shared" si="1"/>
        <v>44926</v>
      </c>
      <c r="U9" s="55" t="s">
        <v>1</v>
      </c>
      <c r="AM9" s="55" t="s">
        <v>257</v>
      </c>
      <c r="AR9" s="7"/>
      <c r="BD9" s="7"/>
      <c r="BE9" s="7"/>
      <c r="BF9" s="7"/>
      <c r="BG9" s="7"/>
      <c r="BH9" s="7"/>
      <c r="BT9" s="68"/>
      <c r="BU9" s="12" t="s">
        <v>312</v>
      </c>
      <c r="BV9" s="60"/>
      <c r="BW9" s="26"/>
      <c r="BX9" s="26"/>
      <c r="BY9" s="60"/>
      <c r="BZ9" s="60"/>
      <c r="CA9" s="60"/>
      <c r="CB9" s="60"/>
      <c r="CC9" s="60"/>
      <c r="CD9" s="26"/>
      <c r="CE9" s="41" t="s">
        <v>2375</v>
      </c>
      <c r="CF9" s="60"/>
      <c r="CG9" s="60"/>
      <c r="CH9" s="69"/>
      <c r="CI9" s="7"/>
      <c r="CJ9" s="7"/>
      <c r="CL9" s="204" t="s">
        <v>414</v>
      </c>
      <c r="CM9" s="83"/>
      <c r="CN9" s="83"/>
      <c r="CO9" s="83"/>
      <c r="CP9" s="205">
        <f>+$R$7</f>
        <v>2020</v>
      </c>
      <c r="CQ9" s="206" t="s">
        <v>98</v>
      </c>
      <c r="CR9" s="205">
        <f>+$S$7</f>
        <v>2021</v>
      </c>
      <c r="CS9" s="206" t="s">
        <v>98</v>
      </c>
      <c r="CT9" s="220">
        <f>+$T$7</f>
        <v>2022</v>
      </c>
      <c r="CU9" s="222" t="s">
        <v>98</v>
      </c>
      <c r="CV9" s="224" t="s">
        <v>231</v>
      </c>
      <c r="CW9" s="213"/>
      <c r="CX9" s="497" t="str">
        <f>+P7</f>
        <v>[ Version 2023 ]</v>
      </c>
      <c r="CY9" s="352"/>
      <c r="CZ9" s="214"/>
      <c r="DA9" s="226" t="s">
        <v>440</v>
      </c>
      <c r="DB9" s="220">
        <f>+$R$7</f>
        <v>2020</v>
      </c>
      <c r="DC9" s="206" t="s">
        <v>98</v>
      </c>
      <c r="DD9" s="205">
        <f>+$S$7</f>
        <v>2021</v>
      </c>
      <c r="DE9" s="206" t="s">
        <v>98</v>
      </c>
      <c r="DF9" s="205">
        <f>+$T$7</f>
        <v>2022</v>
      </c>
      <c r="DG9" s="215" t="s">
        <v>98</v>
      </c>
      <c r="DH9" s="58" t="s">
        <v>231</v>
      </c>
      <c r="DJ9" s="369" t="s">
        <v>562</v>
      </c>
      <c r="DK9" s="461" t="s">
        <v>563</v>
      </c>
      <c r="DL9" s="369" t="s">
        <v>564</v>
      </c>
      <c r="DM9" s="369" t="s">
        <v>565</v>
      </c>
      <c r="DN9" s="369" t="s">
        <v>566</v>
      </c>
      <c r="DO9" s="462" t="s">
        <v>567</v>
      </c>
      <c r="DQ9" s="58" t="s">
        <v>231</v>
      </c>
    </row>
    <row r="10" spans="2:121" s="33" customFormat="1" ht="19.5" customHeight="1" thickBot="1">
      <c r="B10" s="65" t="s">
        <v>2322</v>
      </c>
      <c r="C10" s="55"/>
      <c r="D10" s="55"/>
      <c r="E10" s="55"/>
      <c r="F10" s="455" t="s">
        <v>2388</v>
      </c>
      <c r="G10" s="456" t="s">
        <v>2390</v>
      </c>
      <c r="H10" s="420" t="s">
        <v>2260</v>
      </c>
      <c r="I10" s="141"/>
      <c r="J10" s="118" t="str">
        <f t="shared" si="0"/>
        <v>SA</v>
      </c>
      <c r="K10" s="118" t="str">
        <f t="shared" si="0"/>
        <v>BE 0401.206.450</v>
      </c>
      <c r="L10" s="55"/>
      <c r="M10" s="143" t="s">
        <v>231</v>
      </c>
      <c r="N10" s="33" t="s">
        <v>1</v>
      </c>
      <c r="O10" s="144" t="s">
        <v>2265</v>
      </c>
      <c r="P10" s="33" t="s">
        <v>321</v>
      </c>
      <c r="R10" s="33">
        <f t="shared" si="1"/>
        <v>12</v>
      </c>
      <c r="S10" s="33">
        <f t="shared" si="1"/>
        <v>12</v>
      </c>
      <c r="T10" s="33">
        <f t="shared" si="1"/>
        <v>12</v>
      </c>
      <c r="U10" s="33" t="s">
        <v>1</v>
      </c>
      <c r="BT10" s="145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F10" s="146"/>
      <c r="CG10" s="147"/>
      <c r="CH10" s="148"/>
      <c r="CL10" s="207" t="s">
        <v>415</v>
      </c>
      <c r="CM10" s="146"/>
      <c r="CN10" s="146"/>
      <c r="CO10" s="146"/>
      <c r="CP10" s="270">
        <f>+CP11+CP12</f>
        <v>7171.768999999999</v>
      </c>
      <c r="CQ10" s="176">
        <f>+CP10/$CP$16*100</f>
        <v>9.805329234103375</v>
      </c>
      <c r="CR10" s="270">
        <f>+CR11+CR12</f>
        <v>6634.9130000000005</v>
      </c>
      <c r="CS10" s="176">
        <f>+CR10/$CR$16*100</f>
        <v>9.0856534473263</v>
      </c>
      <c r="CT10" s="274">
        <f>+CT11+CT12</f>
        <v>6246.585</v>
      </c>
      <c r="CU10" s="175">
        <f>+CT10/$CT$16*100</f>
        <v>6.884974348928528</v>
      </c>
      <c r="CV10" s="187" t="s">
        <v>231</v>
      </c>
      <c r="CW10" s="208"/>
      <c r="CX10" s="174" t="s">
        <v>421</v>
      </c>
      <c r="CY10" s="146"/>
      <c r="CZ10" s="146"/>
      <c r="DA10" s="195"/>
      <c r="DB10" s="274">
        <f>+DB11+DB12</f>
        <v>49647.53</v>
      </c>
      <c r="DC10" s="176">
        <f>+DB10/$DB$16*100</f>
        <v>67.87870384081735</v>
      </c>
      <c r="DD10" s="270">
        <f>+DD11+DD12</f>
        <v>49289.27099999999</v>
      </c>
      <c r="DE10" s="176">
        <f>+DD10/$DD$16*100</f>
        <v>67.49526950989959</v>
      </c>
      <c r="DF10" s="270">
        <f>+DF11+DF12</f>
        <v>50636.922</v>
      </c>
      <c r="DG10" s="216">
        <f>+DF10/$DF$16*100</f>
        <v>55.811919855956816</v>
      </c>
      <c r="DH10" s="143" t="s">
        <v>231</v>
      </c>
      <c r="DJ10" s="369" t="s">
        <v>568</v>
      </c>
      <c r="DK10" s="461" t="s">
        <v>569</v>
      </c>
      <c r="DL10" s="369" t="s">
        <v>564</v>
      </c>
      <c r="DM10" s="369" t="s">
        <v>565</v>
      </c>
      <c r="DN10" s="369" t="s">
        <v>566</v>
      </c>
      <c r="DO10" s="462" t="s">
        <v>567</v>
      </c>
      <c r="DQ10" s="58" t="s">
        <v>231</v>
      </c>
    </row>
    <row r="11" spans="2:121" s="33" customFormat="1" ht="19.5" customHeight="1" thickBot="1">
      <c r="B11" s="65" t="s">
        <v>2264</v>
      </c>
      <c r="C11" s="55"/>
      <c r="D11" s="55"/>
      <c r="E11" s="55"/>
      <c r="F11" s="457" t="s">
        <v>218</v>
      </c>
      <c r="G11" s="458" t="s">
        <v>2386</v>
      </c>
      <c r="H11" s="400" t="s">
        <v>2294</v>
      </c>
      <c r="I11" s="372"/>
      <c r="J11" s="118" t="str">
        <f t="shared" si="0"/>
        <v>C</v>
      </c>
      <c r="K11" s="49" t="str">
        <f t="shared" si="0"/>
        <v>22110</v>
      </c>
      <c r="L11" s="55"/>
      <c r="M11" s="143" t="s">
        <v>231</v>
      </c>
      <c r="N11" s="33" t="s">
        <v>1</v>
      </c>
      <c r="O11" s="33" t="s">
        <v>262</v>
      </c>
      <c r="P11" s="33" t="str">
        <f>+J11</f>
        <v>C</v>
      </c>
      <c r="Q11" s="33" t="str">
        <f>IF(P11="C","Complet",IF(P11="A","Abrégé",IF(P11="M","Micro","Indéterminé")))</f>
        <v>Complet</v>
      </c>
      <c r="R11" s="33">
        <f>IF(Q11="Complet",1,IF(Q11="Abrégé",2,IF(Q11="Micro",3,0)))</f>
        <v>1</v>
      </c>
      <c r="T11" s="144" t="s">
        <v>329</v>
      </c>
      <c r="U11" s="33" t="s">
        <v>1</v>
      </c>
      <c r="AL11" s="33" t="str">
        <f>"Evolution de "&amp;+FIXED($R$7,0,TRUE)&amp;+" à "&amp;+FIXED($T$7,0,TRUE)&amp;+"  &amp;  Position par rapport à la médiane du Secteur en "&amp;+FIXED(T13,0,TRUE)</f>
        <v>Evolution de 2020 à 2022  &amp;  Position par rapport à la médiane du Secteur en 2022</v>
      </c>
      <c r="BT11" s="145"/>
      <c r="BU11" s="146" t="s">
        <v>17</v>
      </c>
      <c r="BV11" s="146"/>
      <c r="BW11" s="146"/>
      <c r="BX11" s="146"/>
      <c r="BY11" s="149" t="str">
        <f aca="true" t="shared" si="2" ref="BY11:BY45">IF(BY99=0,"----",$R$8)</f>
        <v>----</v>
      </c>
      <c r="BZ11" s="149" t="s">
        <v>258</v>
      </c>
      <c r="CA11" s="149" t="str">
        <f aca="true" t="shared" si="3" ref="CA11:CA45">IF(CA99=0,"----",$S$8)</f>
        <v>----</v>
      </c>
      <c r="CB11" s="149" t="s">
        <v>258</v>
      </c>
      <c r="CC11" s="149" t="str">
        <f aca="true" t="shared" si="4" ref="CC11:CC45">IF(CC99=0,"----",$T$8)</f>
        <v>----</v>
      </c>
      <c r="CD11" s="146"/>
      <c r="CE11" s="146"/>
      <c r="CF11" s="146"/>
      <c r="CG11" s="146"/>
      <c r="CH11" s="148"/>
      <c r="CL11" s="208" t="s">
        <v>416</v>
      </c>
      <c r="CM11" s="146"/>
      <c r="CN11" s="146"/>
      <c r="CO11" s="146"/>
      <c r="CP11" s="271">
        <f>+R18+R19+R20</f>
        <v>7171.768999999999</v>
      </c>
      <c r="CQ11" s="176">
        <f aca="true" t="shared" si="5" ref="CQ11:CQ16">+CP11/$CP$16*100</f>
        <v>9.805329234103375</v>
      </c>
      <c r="CR11" s="271">
        <f>+S18+S19+S20</f>
        <v>6634.9130000000005</v>
      </c>
      <c r="CS11" s="176">
        <f aca="true" t="shared" si="6" ref="CS11:CS16">+CR11/$CR$16*100</f>
        <v>9.0856534473263</v>
      </c>
      <c r="CT11" s="12">
        <f>+T18+T19+T20</f>
        <v>6246.585</v>
      </c>
      <c r="CU11" s="175">
        <f aca="true" t="shared" si="7" ref="CU11:CU16">+CT11/$CT$16*100</f>
        <v>6.884974348928528</v>
      </c>
      <c r="CV11" s="187" t="s">
        <v>231</v>
      </c>
      <c r="CW11" s="208"/>
      <c r="CX11" s="146" t="s">
        <v>2380</v>
      </c>
      <c r="CY11" s="146"/>
      <c r="CZ11" s="146"/>
      <c r="DA11" s="354">
        <f>+R169</f>
        <v>45.9</v>
      </c>
      <c r="DB11" s="12">
        <f>+R30+R31+R32+R33</f>
        <v>35290.529</v>
      </c>
      <c r="DC11" s="176">
        <f aca="true" t="shared" si="8" ref="DC11:DC16">+DB11/$DB$16*100</f>
        <v>48.24963832796468</v>
      </c>
      <c r="DD11" s="271">
        <f>+S30+S31+S32+S33</f>
        <v>37218.293</v>
      </c>
      <c r="DE11" s="176">
        <f aca="true" t="shared" si="9" ref="DE11:DE16">+DD11/$DD$16*100</f>
        <v>50.96562935031864</v>
      </c>
      <c r="DF11" s="271">
        <f>+T30+T31+T32+T33</f>
        <v>40810.795</v>
      </c>
      <c r="DG11" s="216">
        <f aca="true" t="shared" si="10" ref="DG11:DG16">+DF11/$DF$16*100</f>
        <v>44.98158122245035</v>
      </c>
      <c r="DH11" s="143" t="s">
        <v>231</v>
      </c>
      <c r="DJ11" s="369" t="s">
        <v>570</v>
      </c>
      <c r="DK11" s="461" t="s">
        <v>571</v>
      </c>
      <c r="DL11" s="369" t="s">
        <v>564</v>
      </c>
      <c r="DM11" s="369" t="s">
        <v>565</v>
      </c>
      <c r="DN11" s="369" t="s">
        <v>566</v>
      </c>
      <c r="DO11" s="462" t="s">
        <v>567</v>
      </c>
      <c r="DQ11" s="58" t="s">
        <v>231</v>
      </c>
    </row>
    <row r="12" spans="2:121" s="33" customFormat="1" ht="19.5" customHeight="1" thickBot="1">
      <c r="B12" s="33" t="s">
        <v>2324</v>
      </c>
      <c r="F12" s="459" t="s">
        <v>947</v>
      </c>
      <c r="G12" s="460">
        <v>2022</v>
      </c>
      <c r="H12" s="421" t="s">
        <v>2261</v>
      </c>
      <c r="I12" s="372"/>
      <c r="J12" s="33" t="str">
        <f t="shared" si="0"/>
        <v>PU2301</v>
      </c>
      <c r="K12" s="49">
        <f t="shared" si="0"/>
        <v>2022</v>
      </c>
      <c r="M12" s="143" t="s">
        <v>231</v>
      </c>
      <c r="N12" s="33" t="s">
        <v>1</v>
      </c>
      <c r="O12" s="33" t="s">
        <v>263</v>
      </c>
      <c r="P12" s="33" t="str">
        <f>+J5</f>
        <v>2211</v>
      </c>
      <c r="R12" s="33" t="str">
        <f>LEFT(P12,2)</f>
        <v>22</v>
      </c>
      <c r="S12" s="33">
        <f>IF(R12="41",1,IF(R12="42",1,IF(R12="43",1,0)))</f>
        <v>0</v>
      </c>
      <c r="T12" s="144" t="s">
        <v>330</v>
      </c>
      <c r="U12" s="33" t="s">
        <v>1</v>
      </c>
      <c r="W12" s="146"/>
      <c r="BT12" s="145"/>
      <c r="BU12" s="146"/>
      <c r="BV12" s="146"/>
      <c r="BW12" s="151" t="s">
        <v>18</v>
      </c>
      <c r="BX12" s="146"/>
      <c r="BY12" s="149" t="str">
        <f t="shared" si="2"/>
        <v>20</v>
      </c>
      <c r="BZ12" s="149" t="s">
        <v>258</v>
      </c>
      <c r="CA12" s="149" t="str">
        <f t="shared" si="3"/>
        <v>21</v>
      </c>
      <c r="CB12" s="149" t="s">
        <v>258</v>
      </c>
      <c r="CC12" s="149" t="str">
        <f t="shared" si="4"/>
        <v>22</v>
      </c>
      <c r="CD12" s="146"/>
      <c r="CE12" s="146"/>
      <c r="CF12" s="146" t="s">
        <v>19</v>
      </c>
      <c r="CG12" s="146"/>
      <c r="CH12" s="148"/>
      <c r="CL12" s="208" t="s">
        <v>417</v>
      </c>
      <c r="CM12" s="146"/>
      <c r="CN12" s="146"/>
      <c r="CO12" s="146"/>
      <c r="CP12" s="271">
        <f>+R21</f>
        <v>0</v>
      </c>
      <c r="CQ12" s="176">
        <f t="shared" si="5"/>
        <v>0</v>
      </c>
      <c r="CR12" s="271">
        <f>+S21</f>
        <v>0</v>
      </c>
      <c r="CS12" s="176">
        <f t="shared" si="6"/>
        <v>0</v>
      </c>
      <c r="CT12" s="12">
        <f>+T21</f>
        <v>0</v>
      </c>
      <c r="CU12" s="175">
        <f t="shared" si="7"/>
        <v>0</v>
      </c>
      <c r="CV12" s="187" t="s">
        <v>231</v>
      </c>
      <c r="CW12" s="208"/>
      <c r="CX12" s="146" t="s">
        <v>422</v>
      </c>
      <c r="CY12" s="146"/>
      <c r="CZ12" s="146"/>
      <c r="DA12" s="195"/>
      <c r="DB12" s="12">
        <f>+R35+R34</f>
        <v>14357.001</v>
      </c>
      <c r="DC12" s="176">
        <f t="shared" si="8"/>
        <v>19.629065512852677</v>
      </c>
      <c r="DD12" s="271">
        <f>+S35+S34</f>
        <v>12070.978</v>
      </c>
      <c r="DE12" s="176">
        <f t="shared" si="9"/>
        <v>16.52964015958095</v>
      </c>
      <c r="DF12" s="271">
        <f>+T35+T34</f>
        <v>9826.127</v>
      </c>
      <c r="DG12" s="216">
        <f t="shared" si="10"/>
        <v>10.830338633506464</v>
      </c>
      <c r="DH12" s="143" t="s">
        <v>231</v>
      </c>
      <c r="DJ12" s="369" t="s">
        <v>572</v>
      </c>
      <c r="DK12" s="461" t="s">
        <v>573</v>
      </c>
      <c r="DL12" s="369" t="s">
        <v>564</v>
      </c>
      <c r="DM12" s="369" t="s">
        <v>565</v>
      </c>
      <c r="DN12" s="369" t="s">
        <v>566</v>
      </c>
      <c r="DO12" s="462" t="s">
        <v>567</v>
      </c>
      <c r="DQ12" s="58" t="s">
        <v>231</v>
      </c>
    </row>
    <row r="13" spans="2:121" s="33" customFormat="1" ht="19.5" customHeight="1" thickBot="1">
      <c r="B13" s="424" t="s">
        <v>2404</v>
      </c>
      <c r="F13" s="371"/>
      <c r="G13" s="371"/>
      <c r="H13" s="371"/>
      <c r="J13" s="143" t="s">
        <v>231</v>
      </c>
      <c r="M13" s="143" t="s">
        <v>231</v>
      </c>
      <c r="N13" s="33" t="s">
        <v>1</v>
      </c>
      <c r="O13" s="33" t="s">
        <v>449</v>
      </c>
      <c r="P13" s="33" t="str">
        <f>+K5</f>
        <v>Fabrication et rechapage de pneumatiques</v>
      </c>
      <c r="T13" s="49">
        <f>IF(K12=0,J7,K12)</f>
        <v>2022</v>
      </c>
      <c r="U13" s="33" t="s">
        <v>1</v>
      </c>
      <c r="AG13" s="150" t="s">
        <v>27</v>
      </c>
      <c r="BD13" s="150" t="s">
        <v>28</v>
      </c>
      <c r="BT13" s="145"/>
      <c r="BU13" s="146" t="s">
        <v>22</v>
      </c>
      <c r="BV13" s="146"/>
      <c r="BW13" s="151"/>
      <c r="BX13" s="146"/>
      <c r="BY13" s="149" t="str">
        <f t="shared" si="2"/>
        <v>----</v>
      </c>
      <c r="BZ13" s="149" t="s">
        <v>258</v>
      </c>
      <c r="CA13" s="149" t="str">
        <f t="shared" si="3"/>
        <v>----</v>
      </c>
      <c r="CB13" s="149" t="s">
        <v>258</v>
      </c>
      <c r="CC13" s="149" t="str">
        <f t="shared" si="4"/>
        <v>----</v>
      </c>
      <c r="CD13" s="146"/>
      <c r="CE13" s="146"/>
      <c r="CF13" s="146"/>
      <c r="CG13" s="146"/>
      <c r="CH13" s="148"/>
      <c r="CL13" s="207" t="s">
        <v>418</v>
      </c>
      <c r="CM13" s="177"/>
      <c r="CN13" s="177"/>
      <c r="CO13" s="177"/>
      <c r="CP13" s="270">
        <f>+CP14+CP15</f>
        <v>65969.773</v>
      </c>
      <c r="CQ13" s="176">
        <f t="shared" si="5"/>
        <v>90.19467076589662</v>
      </c>
      <c r="CR13" s="270">
        <f>+CR14+CR15</f>
        <v>66391.348</v>
      </c>
      <c r="CS13" s="176">
        <f t="shared" si="6"/>
        <v>90.91434655267369</v>
      </c>
      <c r="CT13" s="274">
        <f>+CT14+CT15</f>
        <v>84481.20400000001</v>
      </c>
      <c r="CU13" s="175">
        <f t="shared" si="7"/>
        <v>93.11502565107148</v>
      </c>
      <c r="CV13" s="187" t="s">
        <v>231</v>
      </c>
      <c r="CW13" s="208"/>
      <c r="CX13" s="174" t="s">
        <v>423</v>
      </c>
      <c r="CY13" s="146"/>
      <c r="CZ13" s="146"/>
      <c r="DA13" s="195"/>
      <c r="DB13" s="274">
        <f>+DB14+DB15</f>
        <v>23494.011000000002</v>
      </c>
      <c r="DC13" s="176">
        <f t="shared" si="8"/>
        <v>32.12129615918265</v>
      </c>
      <c r="DD13" s="270">
        <f>+DD14+DD15</f>
        <v>23736.988999999998</v>
      </c>
      <c r="DE13" s="176">
        <f t="shared" si="9"/>
        <v>32.50473049010041</v>
      </c>
      <c r="DF13" s="270">
        <f>+DF14+DF15</f>
        <v>40090.869</v>
      </c>
      <c r="DG13" s="216">
        <f t="shared" si="10"/>
        <v>44.188080144043184</v>
      </c>
      <c r="DH13" s="143" t="s">
        <v>231</v>
      </c>
      <c r="DJ13" s="369" t="s">
        <v>574</v>
      </c>
      <c r="DK13" s="461" t="s">
        <v>575</v>
      </c>
      <c r="DL13" s="369" t="s">
        <v>564</v>
      </c>
      <c r="DM13" s="369" t="s">
        <v>565</v>
      </c>
      <c r="DN13" s="369" t="s">
        <v>566</v>
      </c>
      <c r="DO13" s="462" t="s">
        <v>567</v>
      </c>
      <c r="DQ13" s="58" t="s">
        <v>231</v>
      </c>
    </row>
    <row r="14" spans="2:121" s="152" customFormat="1" ht="19.5" customHeight="1" thickTop="1">
      <c r="B14" s="142" t="s">
        <v>352</v>
      </c>
      <c r="C14" s="142"/>
      <c r="D14" s="142"/>
      <c r="E14" s="142"/>
      <c r="F14" s="414">
        <v>2020</v>
      </c>
      <c r="G14" s="415">
        <v>2021</v>
      </c>
      <c r="H14" s="416">
        <v>2022</v>
      </c>
      <c r="I14" s="119" t="s">
        <v>231</v>
      </c>
      <c r="J14" s="49">
        <f aca="true" t="shared" si="11" ref="J14:L16">+F14</f>
        <v>2020</v>
      </c>
      <c r="K14" s="49">
        <f t="shared" si="11"/>
        <v>2021</v>
      </c>
      <c r="L14" s="49">
        <f t="shared" si="11"/>
        <v>2022</v>
      </c>
      <c r="M14" s="143" t="s">
        <v>231</v>
      </c>
      <c r="N14" s="33" t="s">
        <v>1</v>
      </c>
      <c r="O14" s="33" t="s">
        <v>2335</v>
      </c>
      <c r="P14" s="33" t="str">
        <f>IF(J12="",IF(R11=1,D120,D140),J12)</f>
        <v>PU2301</v>
      </c>
      <c r="Q14" s="33" t="str">
        <f>IF(J12="",IF(R11=1,D121,D141),K6)</f>
        <v>Industrie du caoutchouc, transformation des matières plastiques</v>
      </c>
      <c r="T14" s="483" t="str">
        <f>IF(J10="SRL","app",IF(J10="SC","app","cap"))</f>
        <v>cap</v>
      </c>
      <c r="U14" s="33" t="s">
        <v>1</v>
      </c>
      <c r="V14" s="33"/>
      <c r="W14" s="33"/>
      <c r="X14" s="33"/>
      <c r="Y14" s="33"/>
      <c r="Z14" s="33" t="s">
        <v>267</v>
      </c>
      <c r="AA14" s="33"/>
      <c r="AB14" s="142" t="str">
        <f aca="true" t="shared" si="12" ref="AB14:BP14">+AB99</f>
        <v>--</v>
      </c>
      <c r="AC14" s="142" t="str">
        <f t="shared" si="12"/>
        <v>--</v>
      </c>
      <c r="AD14" s="142" t="str">
        <f t="shared" si="12"/>
        <v>--</v>
      </c>
      <c r="AE14" s="142" t="str">
        <f t="shared" si="12"/>
        <v>--</v>
      </c>
      <c r="AF14" s="142" t="str">
        <f t="shared" si="12"/>
        <v>--</v>
      </c>
      <c r="AG14" s="142" t="str">
        <f t="shared" si="12"/>
        <v>--</v>
      </c>
      <c r="AH14" s="142" t="str">
        <f t="shared" si="12"/>
        <v>--</v>
      </c>
      <c r="AI14" s="142" t="str">
        <f t="shared" si="12"/>
        <v>20</v>
      </c>
      <c r="AJ14" s="142" t="str">
        <f t="shared" si="12"/>
        <v>--</v>
      </c>
      <c r="AK14" s="142" t="str">
        <f t="shared" si="12"/>
        <v>--</v>
      </c>
      <c r="AL14" s="142" t="str">
        <f t="shared" si="12"/>
        <v>--</v>
      </c>
      <c r="AM14" s="142" t="str">
        <f t="shared" si="12"/>
        <v>--</v>
      </c>
      <c r="AN14" s="142" t="str">
        <f t="shared" si="12"/>
        <v>--</v>
      </c>
      <c r="AO14" s="142" t="str">
        <f t="shared" si="12"/>
        <v>--</v>
      </c>
      <c r="AP14" s="142" t="str">
        <f t="shared" si="12"/>
        <v>--</v>
      </c>
      <c r="AQ14" s="142" t="str">
        <f t="shared" si="12"/>
        <v>--</v>
      </c>
      <c r="AR14" s="142" t="str">
        <f t="shared" si="12"/>
        <v>--</v>
      </c>
      <c r="AS14" s="142" t="str">
        <f t="shared" si="12"/>
        <v>--</v>
      </c>
      <c r="AT14" s="142" t="str">
        <f t="shared" si="12"/>
        <v>--</v>
      </c>
      <c r="AU14" s="142" t="str">
        <f t="shared" si="12"/>
        <v>--</v>
      </c>
      <c r="AV14" s="142" t="str">
        <f t="shared" si="12"/>
        <v>--</v>
      </c>
      <c r="AW14" s="142" t="str">
        <f t="shared" si="12"/>
        <v>--</v>
      </c>
      <c r="AX14" s="142" t="str">
        <f t="shared" si="12"/>
        <v>--</v>
      </c>
      <c r="AY14" s="142" t="str">
        <f t="shared" si="12"/>
        <v>--</v>
      </c>
      <c r="AZ14" s="142" t="str">
        <f t="shared" si="12"/>
        <v>21</v>
      </c>
      <c r="BA14" s="142" t="str">
        <f t="shared" si="12"/>
        <v>--</v>
      </c>
      <c r="BB14" s="142" t="str">
        <f t="shared" si="12"/>
        <v>--</v>
      </c>
      <c r="BC14" s="142" t="str">
        <f t="shared" si="12"/>
        <v>--</v>
      </c>
      <c r="BD14" s="142" t="str">
        <f t="shared" si="12"/>
        <v>22</v>
      </c>
      <c r="BE14" s="142" t="str">
        <f t="shared" si="12"/>
        <v>--</v>
      </c>
      <c r="BF14" s="142" t="str">
        <f t="shared" si="12"/>
        <v>--</v>
      </c>
      <c r="BG14" s="142" t="str">
        <f t="shared" si="12"/>
        <v>--</v>
      </c>
      <c r="BH14" s="142" t="str">
        <f t="shared" si="12"/>
        <v>--</v>
      </c>
      <c r="BI14" s="142" t="str">
        <f t="shared" si="12"/>
        <v>--</v>
      </c>
      <c r="BJ14" s="142" t="str">
        <f t="shared" si="12"/>
        <v>--</v>
      </c>
      <c r="BK14" s="142" t="str">
        <f t="shared" si="12"/>
        <v>--</v>
      </c>
      <c r="BL14" s="142" t="str">
        <f t="shared" si="12"/>
        <v>--</v>
      </c>
      <c r="BM14" s="142" t="str">
        <f t="shared" si="12"/>
        <v>--</v>
      </c>
      <c r="BN14" s="142" t="str">
        <f t="shared" si="12"/>
        <v>--</v>
      </c>
      <c r="BO14" s="142" t="str">
        <f t="shared" si="12"/>
        <v>--</v>
      </c>
      <c r="BP14" s="142" t="str">
        <f t="shared" si="12"/>
        <v>--</v>
      </c>
      <c r="BQ14" s="33"/>
      <c r="BR14" s="33"/>
      <c r="BS14" s="33"/>
      <c r="BT14" s="145"/>
      <c r="BU14" s="146"/>
      <c r="BV14" s="146"/>
      <c r="BW14" s="151" t="s">
        <v>25</v>
      </c>
      <c r="BX14" s="146"/>
      <c r="BY14" s="149" t="str">
        <f t="shared" si="2"/>
        <v>----</v>
      </c>
      <c r="BZ14" s="149" t="s">
        <v>258</v>
      </c>
      <c r="CA14" s="149" t="str">
        <f t="shared" si="3"/>
        <v>----</v>
      </c>
      <c r="CB14" s="149" t="s">
        <v>258</v>
      </c>
      <c r="CC14" s="149" t="str">
        <f t="shared" si="4"/>
        <v>----</v>
      </c>
      <c r="CD14" s="146"/>
      <c r="CE14" s="146"/>
      <c r="CF14" s="146"/>
      <c r="CG14" s="146"/>
      <c r="CH14" s="148"/>
      <c r="CI14" s="33"/>
      <c r="CJ14" s="33"/>
      <c r="CL14" s="209" t="s">
        <v>419</v>
      </c>
      <c r="CM14" s="177"/>
      <c r="CN14" s="177"/>
      <c r="CO14" s="177"/>
      <c r="CP14" s="272">
        <f>+R22+R23+R24+R26</f>
        <v>60554.503</v>
      </c>
      <c r="CQ14" s="176">
        <f t="shared" si="5"/>
        <v>82.79084818857113</v>
      </c>
      <c r="CR14" s="272">
        <f>+S22+S23+S24+S26</f>
        <v>62348.293000000005</v>
      </c>
      <c r="CS14" s="176">
        <f t="shared" si="6"/>
        <v>85.37790672317183</v>
      </c>
      <c r="CT14" s="275">
        <f>+T22+T23+T24+T26</f>
        <v>74705.316</v>
      </c>
      <c r="CU14" s="175">
        <f t="shared" si="7"/>
        <v>82.34006011102066</v>
      </c>
      <c r="CV14" s="187" t="s">
        <v>231</v>
      </c>
      <c r="CW14" s="209"/>
      <c r="CX14" s="177" t="s">
        <v>427</v>
      </c>
      <c r="CY14" s="177"/>
      <c r="CZ14" s="177"/>
      <c r="DA14" s="355"/>
      <c r="DB14" s="275">
        <f>+R37+R38+R39+R85-R91</f>
        <v>17994.011000000002</v>
      </c>
      <c r="DC14" s="176">
        <f t="shared" si="8"/>
        <v>24.60162959924512</v>
      </c>
      <c r="DD14" s="272">
        <f>+S37+S38+S39+S85-S91</f>
        <v>23736.988999999998</v>
      </c>
      <c r="DE14" s="176">
        <f t="shared" si="9"/>
        <v>32.50473049010041</v>
      </c>
      <c r="DF14" s="272">
        <f>+T37+T38+T39+T85-T91</f>
        <v>40090.869</v>
      </c>
      <c r="DG14" s="216">
        <f t="shared" si="10"/>
        <v>44.188080144043184</v>
      </c>
      <c r="DH14" s="194" t="s">
        <v>231</v>
      </c>
      <c r="DJ14" s="369" t="s">
        <v>576</v>
      </c>
      <c r="DK14" s="461" t="s">
        <v>577</v>
      </c>
      <c r="DL14" s="369" t="s">
        <v>564</v>
      </c>
      <c r="DM14" s="369" t="s">
        <v>565</v>
      </c>
      <c r="DN14" s="369" t="s">
        <v>566</v>
      </c>
      <c r="DO14" s="462" t="s">
        <v>567</v>
      </c>
      <c r="DQ14" s="58" t="s">
        <v>231</v>
      </c>
    </row>
    <row r="15" spans="2:121" s="33" customFormat="1" ht="19.5" customHeight="1">
      <c r="B15" s="142" t="s">
        <v>351</v>
      </c>
      <c r="D15" s="142"/>
      <c r="F15" s="417">
        <v>44196</v>
      </c>
      <c r="G15" s="401">
        <v>44561</v>
      </c>
      <c r="H15" s="418">
        <v>44926</v>
      </c>
      <c r="I15" s="119" t="s">
        <v>231</v>
      </c>
      <c r="J15" s="158">
        <f t="shared" si="11"/>
        <v>44196</v>
      </c>
      <c r="K15" s="158">
        <f t="shared" si="11"/>
        <v>44561</v>
      </c>
      <c r="L15" s="158">
        <f t="shared" si="11"/>
        <v>44926</v>
      </c>
      <c r="M15" s="143" t="s">
        <v>231</v>
      </c>
      <c r="N15" s="33" t="s">
        <v>1</v>
      </c>
      <c r="O15" s="153" t="s">
        <v>0</v>
      </c>
      <c r="P15" s="153" t="s">
        <v>0</v>
      </c>
      <c r="Q15" s="153" t="s">
        <v>0</v>
      </c>
      <c r="R15" s="153" t="s">
        <v>0</v>
      </c>
      <c r="S15" s="153" t="s">
        <v>0</v>
      </c>
      <c r="T15" s="153" t="s">
        <v>0</v>
      </c>
      <c r="U15" s="33" t="s">
        <v>1</v>
      </c>
      <c r="AB15" s="142" t="str">
        <f aca="true" t="shared" si="13" ref="AB15:BP15">+AB100</f>
        <v>  |</v>
      </c>
      <c r="AC15" s="142">
        <f t="shared" si="13"/>
      </c>
      <c r="AD15" s="142">
        <f t="shared" si="13"/>
      </c>
      <c r="AE15" s="142">
        <f t="shared" si="13"/>
      </c>
      <c r="AF15" s="142">
        <f t="shared" si="13"/>
      </c>
      <c r="AG15" s="142">
        <f t="shared" si="13"/>
      </c>
      <c r="AH15" s="142">
        <f t="shared" si="13"/>
      </c>
      <c r="AI15" s="142">
        <f t="shared" si="13"/>
      </c>
      <c r="AJ15" s="142">
        <f t="shared" si="13"/>
      </c>
      <c r="AK15" s="142">
        <f t="shared" si="13"/>
      </c>
      <c r="AL15" s="142">
        <f t="shared" si="13"/>
      </c>
      <c r="AM15" s="142">
        <f t="shared" si="13"/>
      </c>
      <c r="AN15" s="142">
        <f t="shared" si="13"/>
      </c>
      <c r="AO15" s="142">
        <f t="shared" si="13"/>
      </c>
      <c r="AP15" s="142">
        <f t="shared" si="13"/>
      </c>
      <c r="AQ15" s="142">
        <f t="shared" si="13"/>
      </c>
      <c r="AR15" s="142">
        <f t="shared" si="13"/>
      </c>
      <c r="AS15" s="142">
        <f t="shared" si="13"/>
      </c>
      <c r="AT15" s="142">
        <f t="shared" si="13"/>
      </c>
      <c r="AU15" s="142">
        <f t="shared" si="13"/>
      </c>
      <c r="AV15" s="142" t="str">
        <f t="shared" si="13"/>
        <v>  |</v>
      </c>
      <c r="AW15" s="142">
        <f t="shared" si="13"/>
      </c>
      <c r="AX15" s="142">
        <f t="shared" si="13"/>
      </c>
      <c r="AY15" s="142">
        <f t="shared" si="13"/>
      </c>
      <c r="AZ15" s="142">
        <f t="shared" si="13"/>
      </c>
      <c r="BA15" s="142">
        <f t="shared" si="13"/>
      </c>
      <c r="BB15" s="142">
        <f t="shared" si="13"/>
      </c>
      <c r="BC15" s="142">
        <f t="shared" si="13"/>
      </c>
      <c r="BD15" s="142">
        <f t="shared" si="13"/>
      </c>
      <c r="BE15" s="142">
        <f t="shared" si="13"/>
      </c>
      <c r="BF15" s="142">
        <f t="shared" si="13"/>
      </c>
      <c r="BG15" s="142">
        <f t="shared" si="13"/>
      </c>
      <c r="BH15" s="142">
        <f t="shared" si="13"/>
      </c>
      <c r="BI15" s="142">
        <f t="shared" si="13"/>
      </c>
      <c r="BJ15" s="142">
        <f t="shared" si="13"/>
      </c>
      <c r="BK15" s="142">
        <f t="shared" si="13"/>
      </c>
      <c r="BL15" s="142">
        <f t="shared" si="13"/>
      </c>
      <c r="BM15" s="142">
        <f t="shared" si="13"/>
      </c>
      <c r="BN15" s="142">
        <f t="shared" si="13"/>
      </c>
      <c r="BO15" s="142">
        <f t="shared" si="13"/>
      </c>
      <c r="BP15" s="142" t="str">
        <f t="shared" si="13"/>
        <v>  |</v>
      </c>
      <c r="BT15" s="145"/>
      <c r="BU15" s="146" t="s">
        <v>29</v>
      </c>
      <c r="BV15" s="146"/>
      <c r="BW15" s="151"/>
      <c r="BX15" s="146"/>
      <c r="BY15" s="149" t="str">
        <f t="shared" si="2"/>
        <v>----</v>
      </c>
      <c r="BZ15" s="149" t="s">
        <v>258</v>
      </c>
      <c r="CA15" s="149" t="str">
        <f t="shared" si="3"/>
        <v>----</v>
      </c>
      <c r="CB15" s="149" t="s">
        <v>258</v>
      </c>
      <c r="CC15" s="149" t="str">
        <f t="shared" si="4"/>
        <v>----</v>
      </c>
      <c r="CD15" s="146"/>
      <c r="CE15" s="146"/>
      <c r="CF15" s="146"/>
      <c r="CG15" s="146"/>
      <c r="CH15" s="148"/>
      <c r="CL15" s="209" t="s">
        <v>420</v>
      </c>
      <c r="CM15" s="146"/>
      <c r="CN15" s="146"/>
      <c r="CO15" s="146"/>
      <c r="CP15" s="271">
        <f>+R25</f>
        <v>5415.2699999999995</v>
      </c>
      <c r="CQ15" s="176">
        <f t="shared" si="5"/>
        <v>7.403822577325482</v>
      </c>
      <c r="CR15" s="271">
        <f>+S25</f>
        <v>4043.055</v>
      </c>
      <c r="CS15" s="176">
        <f t="shared" si="6"/>
        <v>5.536439829501883</v>
      </c>
      <c r="CT15" s="12">
        <f>+T25</f>
        <v>9775.888</v>
      </c>
      <c r="CU15" s="175">
        <f t="shared" si="7"/>
        <v>10.774965540050799</v>
      </c>
      <c r="CV15" s="187" t="s">
        <v>231</v>
      </c>
      <c r="CW15" s="208"/>
      <c r="CX15" s="177" t="s">
        <v>424</v>
      </c>
      <c r="CY15" s="146"/>
      <c r="CZ15" s="146"/>
      <c r="DA15" s="195"/>
      <c r="DB15" s="12">
        <f>+R91+R86</f>
        <v>5500</v>
      </c>
      <c r="DC15" s="176">
        <f t="shared" si="8"/>
        <v>7.519666559937532</v>
      </c>
      <c r="DD15" s="271">
        <f>+S91+S86</f>
        <v>0</v>
      </c>
      <c r="DE15" s="176">
        <f t="shared" si="9"/>
        <v>0</v>
      </c>
      <c r="DF15" s="271">
        <f>+T91+T86</f>
        <v>0</v>
      </c>
      <c r="DG15" s="216">
        <f t="shared" si="10"/>
        <v>0</v>
      </c>
      <c r="DH15" s="143" t="s">
        <v>231</v>
      </c>
      <c r="DJ15" s="369" t="s">
        <v>578</v>
      </c>
      <c r="DK15" s="461" t="s">
        <v>579</v>
      </c>
      <c r="DL15" s="369" t="s">
        <v>564</v>
      </c>
      <c r="DM15" s="369" t="s">
        <v>565</v>
      </c>
      <c r="DN15" s="369" t="s">
        <v>566</v>
      </c>
      <c r="DO15" s="462" t="s">
        <v>567</v>
      </c>
      <c r="DQ15" s="58" t="s">
        <v>231</v>
      </c>
    </row>
    <row r="16" spans="2:121" s="33" customFormat="1" ht="19.5" customHeight="1" thickBot="1">
      <c r="B16" s="142" t="s">
        <v>2327</v>
      </c>
      <c r="D16" s="142"/>
      <c r="F16" s="471">
        <v>12</v>
      </c>
      <c r="G16" s="472">
        <v>12</v>
      </c>
      <c r="H16" s="473">
        <v>12</v>
      </c>
      <c r="I16" s="119" t="s">
        <v>231</v>
      </c>
      <c r="J16" s="34">
        <f t="shared" si="11"/>
        <v>12</v>
      </c>
      <c r="K16" s="34">
        <f t="shared" si="11"/>
        <v>12</v>
      </c>
      <c r="L16" s="34">
        <f t="shared" si="11"/>
        <v>12</v>
      </c>
      <c r="M16" s="143" t="s">
        <v>231</v>
      </c>
      <c r="N16" s="33" t="s">
        <v>1</v>
      </c>
      <c r="O16" s="33" t="s">
        <v>14</v>
      </c>
      <c r="Q16" s="33" t="s">
        <v>15</v>
      </c>
      <c r="R16" s="49">
        <f>$R$7</f>
        <v>2020</v>
      </c>
      <c r="S16" s="49">
        <f>$S$7</f>
        <v>2021</v>
      </c>
      <c r="T16" s="49">
        <f>$T$7</f>
        <v>2022</v>
      </c>
      <c r="U16" s="33" t="s">
        <v>1</v>
      </c>
      <c r="Z16" s="33" t="s">
        <v>268</v>
      </c>
      <c r="AB16" s="142" t="str">
        <f aca="true" t="shared" si="14" ref="AB16:BP16">+AB101</f>
        <v>  |</v>
      </c>
      <c r="AC16" s="142">
        <f t="shared" si="14"/>
      </c>
      <c r="AD16" s="142">
        <f t="shared" si="14"/>
      </c>
      <c r="AE16" s="142">
        <f t="shared" si="14"/>
      </c>
      <c r="AF16" s="142">
        <f t="shared" si="14"/>
      </c>
      <c r="AG16" s="142">
        <f t="shared" si="14"/>
      </c>
      <c r="AH16" s="142">
        <f t="shared" si="14"/>
      </c>
      <c r="AI16" s="142">
        <f t="shared" si="14"/>
      </c>
      <c r="AJ16" s="142">
        <f t="shared" si="14"/>
      </c>
      <c r="AK16" s="142">
        <f t="shared" si="14"/>
      </c>
      <c r="AL16" s="142">
        <f t="shared" si="14"/>
      </c>
      <c r="AM16" s="142">
        <f t="shared" si="14"/>
      </c>
      <c r="AN16" s="142">
        <f t="shared" si="14"/>
      </c>
      <c r="AO16" s="142">
        <f t="shared" si="14"/>
      </c>
      <c r="AP16" s="142">
        <f t="shared" si="14"/>
      </c>
      <c r="AQ16" s="142">
        <f t="shared" si="14"/>
      </c>
      <c r="AR16" s="142">
        <f t="shared" si="14"/>
      </c>
      <c r="AS16" s="142">
        <f t="shared" si="14"/>
      </c>
      <c r="AT16" s="142">
        <f t="shared" si="14"/>
      </c>
      <c r="AU16" s="142">
        <f t="shared" si="14"/>
      </c>
      <c r="AV16" s="142" t="str">
        <f t="shared" si="14"/>
        <v>  |</v>
      </c>
      <c r="AW16" s="142">
        <f t="shared" si="14"/>
      </c>
      <c r="AX16" s="142">
        <f t="shared" si="14"/>
      </c>
      <c r="AY16" s="142">
        <f t="shared" si="14"/>
      </c>
      <c r="AZ16" s="142">
        <f t="shared" si="14"/>
      </c>
      <c r="BA16" s="142">
        <f t="shared" si="14"/>
      </c>
      <c r="BB16" s="142">
        <f t="shared" si="14"/>
      </c>
      <c r="BC16" s="142">
        <f t="shared" si="14"/>
      </c>
      <c r="BD16" s="142">
        <f t="shared" si="14"/>
      </c>
      <c r="BE16" s="142">
        <f t="shared" si="14"/>
      </c>
      <c r="BF16" s="142">
        <f t="shared" si="14"/>
      </c>
      <c r="BG16" s="142">
        <f t="shared" si="14"/>
      </c>
      <c r="BH16" s="142">
        <f t="shared" si="14"/>
      </c>
      <c r="BI16" s="142">
        <f t="shared" si="14"/>
      </c>
      <c r="BJ16" s="142">
        <f t="shared" si="14"/>
      </c>
      <c r="BK16" s="142">
        <f t="shared" si="14"/>
      </c>
      <c r="BL16" s="142">
        <f t="shared" si="14"/>
      </c>
      <c r="BM16" s="142">
        <f t="shared" si="14"/>
      </c>
      <c r="BN16" s="142">
        <f t="shared" si="14"/>
      </c>
      <c r="BO16" s="142">
        <f t="shared" si="14"/>
      </c>
      <c r="BP16" s="142" t="str">
        <f t="shared" si="14"/>
        <v>  |</v>
      </c>
      <c r="BT16" s="145"/>
      <c r="BU16" s="146"/>
      <c r="BV16" s="146"/>
      <c r="BW16" s="151" t="s">
        <v>32</v>
      </c>
      <c r="BX16" s="146"/>
      <c r="BY16" s="149" t="str">
        <f t="shared" si="2"/>
        <v>----</v>
      </c>
      <c r="BZ16" s="149" t="s">
        <v>258</v>
      </c>
      <c r="CA16" s="149" t="str">
        <f t="shared" si="3"/>
        <v>----</v>
      </c>
      <c r="CB16" s="149" t="s">
        <v>258</v>
      </c>
      <c r="CC16" s="149" t="str">
        <f t="shared" si="4"/>
        <v>----</v>
      </c>
      <c r="CD16" s="146"/>
      <c r="CE16" s="146"/>
      <c r="CF16" s="146" t="s">
        <v>33</v>
      </c>
      <c r="CG16" s="146"/>
      <c r="CH16" s="148"/>
      <c r="CL16" s="210" t="s">
        <v>425</v>
      </c>
      <c r="CM16" s="211"/>
      <c r="CN16" s="211"/>
      <c r="CO16" s="211"/>
      <c r="CP16" s="273">
        <f>+CP10+CP13</f>
        <v>73141.542</v>
      </c>
      <c r="CQ16" s="212">
        <f t="shared" si="5"/>
        <v>100</v>
      </c>
      <c r="CR16" s="273">
        <f>+CR10+CR13</f>
        <v>73026.261</v>
      </c>
      <c r="CS16" s="212">
        <f t="shared" si="6"/>
        <v>100</v>
      </c>
      <c r="CT16" s="276">
        <f>+CT10+CT13</f>
        <v>90727.78900000002</v>
      </c>
      <c r="CU16" s="223">
        <f t="shared" si="7"/>
        <v>100</v>
      </c>
      <c r="CV16" s="225" t="s">
        <v>231</v>
      </c>
      <c r="CW16" s="217"/>
      <c r="CX16" s="221" t="s">
        <v>426</v>
      </c>
      <c r="CY16" s="211"/>
      <c r="CZ16" s="211"/>
      <c r="DA16" s="356">
        <v>100</v>
      </c>
      <c r="DB16" s="276">
        <f>+DB10+DB13</f>
        <v>73141.541</v>
      </c>
      <c r="DC16" s="212">
        <f t="shared" si="8"/>
        <v>100</v>
      </c>
      <c r="DD16" s="273">
        <f>+DD10+DD13</f>
        <v>73026.26</v>
      </c>
      <c r="DE16" s="212">
        <f t="shared" si="9"/>
        <v>100</v>
      </c>
      <c r="DF16" s="273">
        <f>+DF10+DF13</f>
        <v>90727.791</v>
      </c>
      <c r="DG16" s="219">
        <f t="shared" si="10"/>
        <v>100</v>
      </c>
      <c r="DH16" s="143" t="s">
        <v>231</v>
      </c>
      <c r="DJ16" s="369" t="s">
        <v>580</v>
      </c>
      <c r="DK16" s="463" t="s">
        <v>581</v>
      </c>
      <c r="DL16" s="369" t="s">
        <v>564</v>
      </c>
      <c r="DM16" s="369" t="s">
        <v>565</v>
      </c>
      <c r="DN16" s="369" t="s">
        <v>566</v>
      </c>
      <c r="DO16" s="462" t="s">
        <v>567</v>
      </c>
      <c r="DQ16" s="58" t="s">
        <v>231</v>
      </c>
    </row>
    <row r="17" spans="2:121" ht="19.5" customHeight="1" thickBot="1">
      <c r="B17" s="142" t="s">
        <v>2323</v>
      </c>
      <c r="F17" s="468">
        <v>44344</v>
      </c>
      <c r="G17" s="469">
        <v>44708</v>
      </c>
      <c r="H17" s="470">
        <v>45072</v>
      </c>
      <c r="J17" s="158">
        <f>+F17</f>
        <v>44344</v>
      </c>
      <c r="K17" s="158">
        <f>+G17</f>
        <v>44708</v>
      </c>
      <c r="L17" s="158">
        <f>+H17</f>
        <v>45072</v>
      </c>
      <c r="M17" s="58" t="s">
        <v>231</v>
      </c>
      <c r="N17" s="55" t="s">
        <v>1</v>
      </c>
      <c r="O17" s="59" t="s">
        <v>3</v>
      </c>
      <c r="P17" s="59" t="s">
        <v>3</v>
      </c>
      <c r="Q17" s="59" t="s">
        <v>3</v>
      </c>
      <c r="R17" s="59" t="s">
        <v>3</v>
      </c>
      <c r="S17" s="59" t="s">
        <v>3</v>
      </c>
      <c r="T17" s="59" t="s">
        <v>3</v>
      </c>
      <c r="U17" s="55" t="s">
        <v>1</v>
      </c>
      <c r="V17" s="7"/>
      <c r="W17" s="7"/>
      <c r="AB17" s="65" t="str">
        <f aca="true" t="shared" si="15" ref="AB17:BP17">+AB102</f>
        <v>  |</v>
      </c>
      <c r="AC17" s="65">
        <f t="shared" si="15"/>
      </c>
      <c r="AD17" s="65">
        <f t="shared" si="15"/>
      </c>
      <c r="AE17" s="65">
        <f t="shared" si="15"/>
      </c>
      <c r="AF17" s="65">
        <f t="shared" si="15"/>
      </c>
      <c r="AG17" s="65">
        <f t="shared" si="15"/>
      </c>
      <c r="AH17" s="65">
        <f t="shared" si="15"/>
      </c>
      <c r="AI17" s="65">
        <f t="shared" si="15"/>
      </c>
      <c r="AJ17" s="65">
        <f t="shared" si="15"/>
      </c>
      <c r="AK17" s="65">
        <f t="shared" si="15"/>
      </c>
      <c r="AL17" s="65">
        <f t="shared" si="15"/>
      </c>
      <c r="AM17" s="65">
        <f t="shared" si="15"/>
      </c>
      <c r="AN17" s="65">
        <f t="shared" si="15"/>
      </c>
      <c r="AO17" s="65">
        <f t="shared" si="15"/>
      </c>
      <c r="AP17" s="65">
        <f t="shared" si="15"/>
      </c>
      <c r="AQ17" s="65">
        <f t="shared" si="15"/>
      </c>
      <c r="AR17" s="65">
        <f t="shared" si="15"/>
      </c>
      <c r="AS17" s="65">
        <f t="shared" si="15"/>
      </c>
      <c r="AT17" s="65">
        <f t="shared" si="15"/>
      </c>
      <c r="AU17" s="65">
        <f t="shared" si="15"/>
      </c>
      <c r="AV17" s="65" t="str">
        <f t="shared" si="15"/>
        <v>  |</v>
      </c>
      <c r="AW17" s="65">
        <f t="shared" si="15"/>
      </c>
      <c r="AX17" s="65">
        <f t="shared" si="15"/>
      </c>
      <c r="AY17" s="65">
        <f t="shared" si="15"/>
      </c>
      <c r="AZ17" s="65">
        <f t="shared" si="15"/>
      </c>
      <c r="BA17" s="65">
        <f t="shared" si="15"/>
      </c>
      <c r="BB17" s="65">
        <f t="shared" si="15"/>
      </c>
      <c r="BC17" s="65">
        <f t="shared" si="15"/>
      </c>
      <c r="BD17" s="65">
        <f t="shared" si="15"/>
      </c>
      <c r="BE17" s="65">
        <f t="shared" si="15"/>
      </c>
      <c r="BF17" s="65">
        <f t="shared" si="15"/>
      </c>
      <c r="BG17" s="65">
        <f t="shared" si="15"/>
      </c>
      <c r="BH17" s="65">
        <f t="shared" si="15"/>
      </c>
      <c r="BI17" s="65">
        <f t="shared" si="15"/>
      </c>
      <c r="BJ17" s="65">
        <f t="shared" si="15"/>
      </c>
      <c r="BK17" s="65">
        <f t="shared" si="15"/>
      </c>
      <c r="BL17" s="65">
        <f t="shared" si="15"/>
      </c>
      <c r="BM17" s="65">
        <f t="shared" si="15"/>
      </c>
      <c r="BN17" s="65">
        <f t="shared" si="15"/>
      </c>
      <c r="BO17" s="65">
        <f t="shared" si="15"/>
      </c>
      <c r="BP17" s="65" t="str">
        <f t="shared" si="15"/>
        <v>  |</v>
      </c>
      <c r="BT17" s="68"/>
      <c r="BU17" s="26" t="s">
        <v>36</v>
      </c>
      <c r="BV17" s="60"/>
      <c r="BW17" s="28"/>
      <c r="BX17" s="26"/>
      <c r="BY17" s="73" t="str">
        <f t="shared" si="2"/>
        <v>----</v>
      </c>
      <c r="BZ17" s="73" t="s">
        <v>258</v>
      </c>
      <c r="CA17" s="73" t="str">
        <f t="shared" si="3"/>
        <v>----</v>
      </c>
      <c r="CB17" s="73" t="s">
        <v>258</v>
      </c>
      <c r="CC17" s="73" t="str">
        <f t="shared" si="4"/>
        <v>----</v>
      </c>
      <c r="CD17" s="26"/>
      <c r="CE17" s="60"/>
      <c r="CF17" s="26"/>
      <c r="CG17" s="60"/>
      <c r="CH17" s="27"/>
      <c r="CI17" s="7"/>
      <c r="CJ17" s="7"/>
      <c r="DJ17" s="369" t="s">
        <v>582</v>
      </c>
      <c r="DK17" s="461" t="s">
        <v>583</v>
      </c>
      <c r="DL17" s="369" t="s">
        <v>564</v>
      </c>
      <c r="DM17" s="369" t="s">
        <v>565</v>
      </c>
      <c r="DN17" s="369" t="s">
        <v>566</v>
      </c>
      <c r="DO17" s="462" t="s">
        <v>567</v>
      </c>
      <c r="DQ17" s="58" t="s">
        <v>231</v>
      </c>
    </row>
    <row r="18" spans="2:121" ht="19.5" customHeight="1" thickBot="1" thickTop="1">
      <c r="B18" s="424" t="s">
        <v>2273</v>
      </c>
      <c r="C18" s="425" t="s">
        <v>2269</v>
      </c>
      <c r="D18" s="444" t="s">
        <v>2267</v>
      </c>
      <c r="E18" s="428" t="s">
        <v>2405</v>
      </c>
      <c r="F18" s="429"/>
      <c r="G18" s="429"/>
      <c r="H18" s="429"/>
      <c r="I18" s="54"/>
      <c r="J18" s="34">
        <f>+(J17-J15)/365*12</f>
        <v>4.865753424657534</v>
      </c>
      <c r="K18" s="34">
        <f>+(K17-K15)/365*12</f>
        <v>4.832876712328767</v>
      </c>
      <c r="L18" s="34">
        <f>+(L17-L15)/365*12</f>
        <v>4.800000000000001</v>
      </c>
      <c r="M18" s="58" t="s">
        <v>231</v>
      </c>
      <c r="N18" s="55" t="s">
        <v>1</v>
      </c>
      <c r="O18" s="55" t="s">
        <v>400</v>
      </c>
      <c r="Q18" s="58" t="s">
        <v>399</v>
      </c>
      <c r="R18" s="2">
        <f>(J19+J20)</f>
        <v>265.427</v>
      </c>
      <c r="S18" s="2">
        <f>(K19+K20)</f>
        <v>238.157</v>
      </c>
      <c r="T18" s="2">
        <f>(L19+L20)</f>
        <v>140.41</v>
      </c>
      <c r="U18" s="55" t="s">
        <v>1</v>
      </c>
      <c r="V18" s="7"/>
      <c r="Z18" s="55" t="s">
        <v>269</v>
      </c>
      <c r="AB18" s="65" t="str">
        <f aca="true" t="shared" si="16" ref="AB18:BP18">+AB103</f>
        <v>  |</v>
      </c>
      <c r="AC18" s="65">
        <f t="shared" si="16"/>
      </c>
      <c r="AD18" s="65">
        <f t="shared" si="16"/>
      </c>
      <c r="AE18" s="65">
        <f t="shared" si="16"/>
      </c>
      <c r="AF18" s="65">
        <f t="shared" si="16"/>
      </c>
      <c r="AG18" s="65">
        <f t="shared" si="16"/>
      </c>
      <c r="AH18" s="65">
        <f t="shared" si="16"/>
      </c>
      <c r="AI18" s="65">
        <f t="shared" si="16"/>
      </c>
      <c r="AJ18" s="65">
        <f t="shared" si="16"/>
      </c>
      <c r="AK18" s="65">
        <f t="shared" si="16"/>
      </c>
      <c r="AL18" s="65">
        <f t="shared" si="16"/>
      </c>
      <c r="AM18" s="65">
        <f t="shared" si="16"/>
      </c>
      <c r="AN18" s="65">
        <f t="shared" si="16"/>
      </c>
      <c r="AO18" s="65">
        <f t="shared" si="16"/>
      </c>
      <c r="AP18" s="65">
        <f t="shared" si="16"/>
      </c>
      <c r="AQ18" s="65">
        <f t="shared" si="16"/>
      </c>
      <c r="AR18" s="65">
        <f t="shared" si="16"/>
      </c>
      <c r="AS18" s="65">
        <f t="shared" si="16"/>
      </c>
      <c r="AT18" s="65">
        <f t="shared" si="16"/>
      </c>
      <c r="AU18" s="65">
        <f t="shared" si="16"/>
      </c>
      <c r="AV18" s="65" t="str">
        <f t="shared" si="16"/>
        <v>  |</v>
      </c>
      <c r="AW18" s="65">
        <f t="shared" si="16"/>
      </c>
      <c r="AX18" s="65">
        <f t="shared" si="16"/>
      </c>
      <c r="AY18" s="65">
        <f t="shared" si="16"/>
      </c>
      <c r="AZ18" s="65">
        <f t="shared" si="16"/>
      </c>
      <c r="BA18" s="65">
        <f t="shared" si="16"/>
      </c>
      <c r="BB18" s="65">
        <f t="shared" si="16"/>
      </c>
      <c r="BC18" s="65">
        <f t="shared" si="16"/>
      </c>
      <c r="BD18" s="65">
        <f t="shared" si="16"/>
      </c>
      <c r="BE18" s="65">
        <f t="shared" si="16"/>
      </c>
      <c r="BF18" s="65">
        <f t="shared" si="16"/>
      </c>
      <c r="BG18" s="65">
        <f t="shared" si="16"/>
      </c>
      <c r="BH18" s="65">
        <f t="shared" si="16"/>
      </c>
      <c r="BI18" s="65">
        <f t="shared" si="16"/>
      </c>
      <c r="BJ18" s="65">
        <f t="shared" si="16"/>
      </c>
      <c r="BK18" s="65">
        <f t="shared" si="16"/>
      </c>
      <c r="BL18" s="65">
        <f t="shared" si="16"/>
      </c>
      <c r="BM18" s="65">
        <f t="shared" si="16"/>
      </c>
      <c r="BN18" s="65">
        <f t="shared" si="16"/>
      </c>
      <c r="BO18" s="65">
        <f t="shared" si="16"/>
      </c>
      <c r="BP18" s="65" t="str">
        <f t="shared" si="16"/>
        <v>  |</v>
      </c>
      <c r="BT18" s="68"/>
      <c r="BU18" s="26"/>
      <c r="BV18" s="60"/>
      <c r="BW18" s="28" t="s">
        <v>38</v>
      </c>
      <c r="BX18" s="26"/>
      <c r="BY18" s="73" t="str">
        <f t="shared" si="2"/>
        <v>----</v>
      </c>
      <c r="BZ18" s="73" t="s">
        <v>258</v>
      </c>
      <c r="CA18" s="73" t="str">
        <f t="shared" si="3"/>
        <v>----</v>
      </c>
      <c r="CB18" s="73" t="s">
        <v>258</v>
      </c>
      <c r="CC18" s="73" t="str">
        <f t="shared" si="4"/>
        <v>----</v>
      </c>
      <c r="CD18" s="26"/>
      <c r="CE18" s="60"/>
      <c r="CF18" s="26"/>
      <c r="CG18" s="60"/>
      <c r="CH18" s="27"/>
      <c r="CI18" s="7"/>
      <c r="CJ18" s="7"/>
      <c r="CL18" s="204" t="s">
        <v>335</v>
      </c>
      <c r="CM18" s="83"/>
      <c r="CN18" s="83"/>
      <c r="CO18" s="226" t="s">
        <v>440</v>
      </c>
      <c r="CP18" s="285" t="str">
        <f>+FIXED(R7,0,TRUE)&amp;+"  ["&amp;+FIXED(R10,0,TRUE)&amp;+"]"</f>
        <v>2020  [12]</v>
      </c>
      <c r="CQ18" s="206" t="s">
        <v>98</v>
      </c>
      <c r="CR18" s="285" t="str">
        <f>+FIXED(S7,0,TRUE)&amp;+"  ["&amp;+FIXED(S10,0,TRUE)&amp;+"]"</f>
        <v>2021  [12]</v>
      </c>
      <c r="CS18" s="206" t="s">
        <v>98</v>
      </c>
      <c r="CT18" s="285" t="str">
        <f>+FIXED(T7,0,TRUE)&amp;+"  ["&amp;+FIXED(T10,0,TRUE)&amp;+"]"</f>
        <v>2022  [12]</v>
      </c>
      <c r="CU18" s="215" t="s">
        <v>98</v>
      </c>
      <c r="CV18" s="188" t="s">
        <v>231</v>
      </c>
      <c r="CX18" s="204" t="s">
        <v>471</v>
      </c>
      <c r="CY18" s="83"/>
      <c r="CZ18" s="83"/>
      <c r="DA18" s="226" t="s">
        <v>440</v>
      </c>
      <c r="DB18" s="205">
        <f>+$R$7</f>
        <v>2020</v>
      </c>
      <c r="DC18" s="206"/>
      <c r="DD18" s="205">
        <f>+$S$7</f>
        <v>2021</v>
      </c>
      <c r="DE18" s="206"/>
      <c r="DF18" s="205">
        <f>+$T$7</f>
        <v>2022</v>
      </c>
      <c r="DG18" s="215"/>
      <c r="DH18" s="58" t="s">
        <v>231</v>
      </c>
      <c r="DJ18" s="369" t="s">
        <v>584</v>
      </c>
      <c r="DK18" s="461" t="s">
        <v>585</v>
      </c>
      <c r="DL18" s="369" t="s">
        <v>564</v>
      </c>
      <c r="DM18" s="369" t="s">
        <v>565</v>
      </c>
      <c r="DN18" s="369" t="s">
        <v>566</v>
      </c>
      <c r="DO18" s="462" t="s">
        <v>567</v>
      </c>
      <c r="DQ18" s="58" t="s">
        <v>231</v>
      </c>
    </row>
    <row r="19" spans="2:121" ht="19.5" customHeight="1" thickTop="1">
      <c r="B19" s="65" t="s">
        <v>2339</v>
      </c>
      <c r="D19" s="445" t="s">
        <v>20</v>
      </c>
      <c r="F19" s="402">
        <v>0</v>
      </c>
      <c r="G19" s="403">
        <v>0</v>
      </c>
      <c r="H19" s="404">
        <v>0</v>
      </c>
      <c r="I19" s="119" t="s">
        <v>231</v>
      </c>
      <c r="J19" s="33">
        <f aca="true" t="shared" si="17" ref="J19:J32">+F19/1000</f>
        <v>0</v>
      </c>
      <c r="K19" s="33">
        <f aca="true" t="shared" si="18" ref="K19:K32">+G19/1000</f>
        <v>0</v>
      </c>
      <c r="L19" s="33">
        <f aca="true" t="shared" si="19" ref="L19:L32">+H19/1000</f>
        <v>0</v>
      </c>
      <c r="M19" s="58" t="s">
        <v>231</v>
      </c>
      <c r="N19" s="55" t="s">
        <v>1</v>
      </c>
      <c r="O19" s="55" t="s">
        <v>401</v>
      </c>
      <c r="Q19" s="55" t="s">
        <v>9</v>
      </c>
      <c r="R19" s="2">
        <f>+J21</f>
        <v>6525.454</v>
      </c>
      <c r="S19" s="2">
        <f>+K21</f>
        <v>6015.868</v>
      </c>
      <c r="T19" s="2">
        <f>+L21</f>
        <v>5725.287</v>
      </c>
      <c r="U19" s="55" t="s">
        <v>1</v>
      </c>
      <c r="V19" s="7"/>
      <c r="AB19" s="65" t="str">
        <f aca="true" t="shared" si="20" ref="AB19:BP19">+AB104</f>
        <v>  |</v>
      </c>
      <c r="AC19" s="65">
        <f t="shared" si="20"/>
      </c>
      <c r="AD19" s="65">
        <f t="shared" si="20"/>
      </c>
      <c r="AE19" s="65">
        <f t="shared" si="20"/>
      </c>
      <c r="AF19" s="65">
        <f t="shared" si="20"/>
      </c>
      <c r="AG19" s="65">
        <f t="shared" si="20"/>
      </c>
      <c r="AH19" s="65">
        <f t="shared" si="20"/>
      </c>
      <c r="AI19" s="65">
        <f t="shared" si="20"/>
      </c>
      <c r="AJ19" s="65">
        <f t="shared" si="20"/>
      </c>
      <c r="AK19" s="65">
        <f t="shared" si="20"/>
      </c>
      <c r="AL19" s="65">
        <f t="shared" si="20"/>
      </c>
      <c r="AM19" s="65">
        <f t="shared" si="20"/>
      </c>
      <c r="AN19" s="65">
        <f t="shared" si="20"/>
      </c>
      <c r="AO19" s="65">
        <f t="shared" si="20"/>
      </c>
      <c r="AP19" s="65">
        <f t="shared" si="20"/>
      </c>
      <c r="AQ19" s="65">
        <f t="shared" si="20"/>
      </c>
      <c r="AR19" s="65">
        <f t="shared" si="20"/>
      </c>
      <c r="AS19" s="65">
        <f t="shared" si="20"/>
      </c>
      <c r="AT19" s="65">
        <f t="shared" si="20"/>
      </c>
      <c r="AU19" s="65">
        <f t="shared" si="20"/>
      </c>
      <c r="AV19" s="65" t="str">
        <f t="shared" si="20"/>
        <v>  |</v>
      </c>
      <c r="AW19" s="65">
        <f t="shared" si="20"/>
      </c>
      <c r="AX19" s="65">
        <f t="shared" si="20"/>
      </c>
      <c r="AY19" s="65">
        <f t="shared" si="20"/>
      </c>
      <c r="AZ19" s="65">
        <f t="shared" si="20"/>
      </c>
      <c r="BA19" s="65" t="str">
        <f t="shared" si="20"/>
        <v> S</v>
      </c>
      <c r="BB19" s="65">
        <f t="shared" si="20"/>
      </c>
      <c r="BC19" s="65">
        <f t="shared" si="20"/>
      </c>
      <c r="BD19" s="65">
        <f t="shared" si="20"/>
      </c>
      <c r="BE19" s="65">
        <f t="shared" si="20"/>
      </c>
      <c r="BF19" s="65">
        <f t="shared" si="20"/>
      </c>
      <c r="BG19" s="65">
        <f t="shared" si="20"/>
      </c>
      <c r="BH19" s="65">
        <f t="shared" si="20"/>
      </c>
      <c r="BI19" s="65">
        <f t="shared" si="20"/>
      </c>
      <c r="BJ19" s="65">
        <f t="shared" si="20"/>
      </c>
      <c r="BK19" s="65">
        <f t="shared" si="20"/>
      </c>
      <c r="BL19" s="65">
        <f t="shared" si="20"/>
      </c>
      <c r="BM19" s="65">
        <f t="shared" si="20"/>
      </c>
      <c r="BN19" s="65">
        <f t="shared" si="20"/>
      </c>
      <c r="BO19" s="65">
        <f t="shared" si="20"/>
      </c>
      <c r="BP19" s="65" t="str">
        <f t="shared" si="20"/>
        <v>  |</v>
      </c>
      <c r="BQ19" s="7"/>
      <c r="BT19" s="68"/>
      <c r="BU19" s="26" t="s">
        <v>41</v>
      </c>
      <c r="BV19" s="60"/>
      <c r="BW19" s="28"/>
      <c r="BX19" s="26"/>
      <c r="BY19" s="73" t="str">
        <f t="shared" si="2"/>
        <v>----</v>
      </c>
      <c r="BZ19" s="73" t="s">
        <v>258</v>
      </c>
      <c r="CA19" s="73" t="str">
        <f t="shared" si="3"/>
        <v>----</v>
      </c>
      <c r="CB19" s="73" t="s">
        <v>258</v>
      </c>
      <c r="CC19" s="73" t="str">
        <f t="shared" si="4"/>
        <v>----</v>
      </c>
      <c r="CD19" s="26"/>
      <c r="CE19" s="60"/>
      <c r="CF19" s="26"/>
      <c r="CG19" s="60"/>
      <c r="CH19" s="27"/>
      <c r="CI19" s="7"/>
      <c r="CJ19" s="7"/>
      <c r="CL19" s="85" t="s">
        <v>557</v>
      </c>
      <c r="CM19" s="60"/>
      <c r="CN19" s="60"/>
      <c r="CO19" s="195"/>
      <c r="CP19" s="271">
        <f>+R47</f>
        <v>54523.622</v>
      </c>
      <c r="CQ19" s="179">
        <f aca="true" t="shared" si="21" ref="CQ19:CQ33">+CP19/$CP$20*100</f>
        <v>92.78318961970065</v>
      </c>
      <c r="CR19" s="271">
        <f>+S47</f>
        <v>71481.702</v>
      </c>
      <c r="CS19" s="179">
        <f aca="true" t="shared" si="22" ref="CS19:CS33">+CR19/$CR$20*100</f>
        <v>97.76596413983867</v>
      </c>
      <c r="CT19" s="271">
        <f>+T47</f>
        <v>95586.763</v>
      </c>
      <c r="CU19" s="230">
        <f aca="true" t="shared" si="23" ref="CU19:CU33">+CT19/$CT$20*100</f>
        <v>95.31148151973026</v>
      </c>
      <c r="CX19" s="85" t="s">
        <v>469</v>
      </c>
      <c r="CY19" s="60"/>
      <c r="CZ19" s="60"/>
      <c r="DA19" s="195"/>
      <c r="DB19" s="271">
        <f>+R70</f>
        <v>0</v>
      </c>
      <c r="DC19" s="277"/>
      <c r="DD19" s="271">
        <f>+S70</f>
        <v>762</v>
      </c>
      <c r="DE19" s="277"/>
      <c r="DF19" s="271">
        <f>+T70</f>
        <v>2603.5</v>
      </c>
      <c r="DG19" s="278"/>
      <c r="DH19" s="58" t="s">
        <v>231</v>
      </c>
      <c r="DJ19" s="369" t="s">
        <v>586</v>
      </c>
      <c r="DK19" s="461" t="s">
        <v>587</v>
      </c>
      <c r="DL19" s="369" t="s">
        <v>564</v>
      </c>
      <c r="DM19" s="369" t="s">
        <v>565</v>
      </c>
      <c r="DN19" s="369" t="s">
        <v>566</v>
      </c>
      <c r="DO19" s="462" t="s">
        <v>567</v>
      </c>
      <c r="DQ19" s="58" t="s">
        <v>231</v>
      </c>
    </row>
    <row r="20" spans="2:121" ht="19.5" customHeight="1">
      <c r="B20" s="65" t="s">
        <v>2336</v>
      </c>
      <c r="D20" s="445" t="s">
        <v>24</v>
      </c>
      <c r="F20" s="405">
        <v>265427</v>
      </c>
      <c r="G20" s="378">
        <v>238157</v>
      </c>
      <c r="H20" s="406">
        <v>140410</v>
      </c>
      <c r="J20" s="33">
        <f t="shared" si="17"/>
        <v>265.427</v>
      </c>
      <c r="K20" s="33">
        <f t="shared" si="18"/>
        <v>238.157</v>
      </c>
      <c r="L20" s="33">
        <f t="shared" si="19"/>
        <v>140.41</v>
      </c>
      <c r="M20" s="58" t="s">
        <v>231</v>
      </c>
      <c r="N20" s="55" t="s">
        <v>1</v>
      </c>
      <c r="O20" s="55" t="s">
        <v>374</v>
      </c>
      <c r="Q20" s="55" t="s">
        <v>10</v>
      </c>
      <c r="R20" s="2">
        <f aca="true" t="shared" si="24" ref="R20:T21">J22</f>
        <v>380.888</v>
      </c>
      <c r="S20" s="2">
        <f t="shared" si="24"/>
        <v>380.888</v>
      </c>
      <c r="T20" s="2">
        <f t="shared" si="24"/>
        <v>380.888</v>
      </c>
      <c r="U20" s="55" t="s">
        <v>1</v>
      </c>
      <c r="V20" s="7"/>
      <c r="X20" s="62" t="s">
        <v>31</v>
      </c>
      <c r="Z20" s="55" t="s">
        <v>270</v>
      </c>
      <c r="AB20" s="65" t="str">
        <f aca="true" t="shared" si="25" ref="AB20:BP20">+AB105</f>
        <v>  |</v>
      </c>
      <c r="AC20" s="65">
        <f t="shared" si="25"/>
      </c>
      <c r="AD20" s="65">
        <f t="shared" si="25"/>
      </c>
      <c r="AE20" s="65">
        <f t="shared" si="25"/>
      </c>
      <c r="AF20" s="65">
        <f t="shared" si="25"/>
      </c>
      <c r="AG20" s="65">
        <f t="shared" si="25"/>
      </c>
      <c r="AH20" s="65">
        <f t="shared" si="25"/>
      </c>
      <c r="AI20" s="65">
        <f t="shared" si="25"/>
      </c>
      <c r="AJ20" s="65">
        <f t="shared" si="25"/>
      </c>
      <c r="AK20" s="65">
        <f t="shared" si="25"/>
      </c>
      <c r="AL20" s="65">
        <f t="shared" si="25"/>
      </c>
      <c r="AM20" s="65">
        <f t="shared" si="25"/>
      </c>
      <c r="AN20" s="65">
        <f t="shared" si="25"/>
      </c>
      <c r="AO20" s="65">
        <f t="shared" si="25"/>
      </c>
      <c r="AP20" s="65">
        <f t="shared" si="25"/>
      </c>
      <c r="AQ20" s="65">
        <f t="shared" si="25"/>
      </c>
      <c r="AR20" s="65">
        <f t="shared" si="25"/>
      </c>
      <c r="AS20" s="65">
        <f t="shared" si="25"/>
      </c>
      <c r="AT20" s="65">
        <f t="shared" si="25"/>
      </c>
      <c r="AU20" s="65">
        <f t="shared" si="25"/>
      </c>
      <c r="AV20" s="65" t="str">
        <f t="shared" si="25"/>
        <v>  |</v>
      </c>
      <c r="AW20" s="65">
        <f t="shared" si="25"/>
      </c>
      <c r="AX20" s="65">
        <f t="shared" si="25"/>
      </c>
      <c r="AY20" s="65">
        <f t="shared" si="25"/>
      </c>
      <c r="AZ20" s="65">
        <f t="shared" si="25"/>
      </c>
      <c r="BA20" s="65">
        <f t="shared" si="25"/>
      </c>
      <c r="BB20" s="65">
        <f t="shared" si="25"/>
      </c>
      <c r="BC20" s="65">
        <f t="shared" si="25"/>
      </c>
      <c r="BD20" s="65">
        <f t="shared" si="25"/>
      </c>
      <c r="BE20" s="65">
        <f t="shared" si="25"/>
      </c>
      <c r="BF20" s="65">
        <f t="shared" si="25"/>
      </c>
      <c r="BG20" s="65">
        <f t="shared" si="25"/>
      </c>
      <c r="BH20" s="65">
        <f t="shared" si="25"/>
      </c>
      <c r="BI20" s="65">
        <f t="shared" si="25"/>
      </c>
      <c r="BJ20" s="65">
        <f t="shared" si="25"/>
      </c>
      <c r="BK20" s="65">
        <f t="shared" si="25"/>
      </c>
      <c r="BL20" s="65">
        <f t="shared" si="25"/>
      </c>
      <c r="BM20" s="65">
        <f t="shared" si="25"/>
      </c>
      <c r="BN20" s="65">
        <f t="shared" si="25"/>
      </c>
      <c r="BO20" s="65">
        <f t="shared" si="25"/>
      </c>
      <c r="BP20" s="65" t="str">
        <f t="shared" si="25"/>
        <v>  |</v>
      </c>
      <c r="BT20" s="68"/>
      <c r="BU20" s="60"/>
      <c r="BV20" s="60"/>
      <c r="BW20" s="76" t="s">
        <v>43</v>
      </c>
      <c r="BX20" s="60"/>
      <c r="BY20" s="73" t="str">
        <f t="shared" si="2"/>
        <v>----</v>
      </c>
      <c r="BZ20" s="73" t="s">
        <v>258</v>
      </c>
      <c r="CA20" s="73" t="str">
        <f t="shared" si="3"/>
        <v>----</v>
      </c>
      <c r="CB20" s="73" t="s">
        <v>258</v>
      </c>
      <c r="CC20" s="73" t="str">
        <f t="shared" si="4"/>
        <v>----</v>
      </c>
      <c r="CD20" s="60"/>
      <c r="CE20" s="60"/>
      <c r="CF20" s="26" t="s">
        <v>44</v>
      </c>
      <c r="CG20" s="60"/>
      <c r="CH20" s="69"/>
      <c r="CL20" s="227" t="s">
        <v>428</v>
      </c>
      <c r="CM20" s="60"/>
      <c r="CN20" s="60"/>
      <c r="CO20" s="201">
        <v>100</v>
      </c>
      <c r="CP20" s="270">
        <f>+R46-R78</f>
        <v>58764.547999999995</v>
      </c>
      <c r="CQ20" s="178">
        <f t="shared" si="21"/>
        <v>100</v>
      </c>
      <c r="CR20" s="270">
        <f>+S46-S78</f>
        <v>73115.12</v>
      </c>
      <c r="CS20" s="178">
        <f t="shared" si="22"/>
        <v>100</v>
      </c>
      <c r="CT20" s="270">
        <f>+T46-T78</f>
        <v>100288.823</v>
      </c>
      <c r="CU20" s="228">
        <f t="shared" si="23"/>
        <v>100</v>
      </c>
      <c r="CV20" s="189" t="s">
        <v>231</v>
      </c>
      <c r="CX20" s="85" t="s">
        <v>470</v>
      </c>
      <c r="CY20" s="60"/>
      <c r="CZ20" s="60"/>
      <c r="DA20" s="196"/>
      <c r="DB20" s="156">
        <f>+R70/R66*100</f>
        <v>0</v>
      </c>
      <c r="DC20" s="184" t="s">
        <v>98</v>
      </c>
      <c r="DD20" s="156">
        <f>+S70/S66*100</f>
        <v>27.8503580525363</v>
      </c>
      <c r="DE20" s="184" t="s">
        <v>98</v>
      </c>
      <c r="DF20" s="156">
        <f>+T70/T66*100</f>
        <v>41.77593369251918</v>
      </c>
      <c r="DG20" s="266" t="s">
        <v>98</v>
      </c>
      <c r="DH20" s="58" t="s">
        <v>231</v>
      </c>
      <c r="DJ20" s="369" t="s">
        <v>588</v>
      </c>
      <c r="DK20" s="461" t="s">
        <v>589</v>
      </c>
      <c r="DL20" s="369" t="s">
        <v>564</v>
      </c>
      <c r="DM20" s="369" t="s">
        <v>565</v>
      </c>
      <c r="DN20" s="369" t="s">
        <v>566</v>
      </c>
      <c r="DO20" s="462" t="s">
        <v>567</v>
      </c>
      <c r="DQ20" s="58" t="s">
        <v>231</v>
      </c>
    </row>
    <row r="21" spans="2:121" ht="19.5" customHeight="1" thickBot="1">
      <c r="B21" s="65" t="s">
        <v>2337</v>
      </c>
      <c r="D21" s="140" t="s">
        <v>9</v>
      </c>
      <c r="F21" s="405">
        <v>6525454</v>
      </c>
      <c r="G21" s="378">
        <v>6015868</v>
      </c>
      <c r="H21" s="406">
        <v>5725287</v>
      </c>
      <c r="I21" s="119" t="s">
        <v>231</v>
      </c>
      <c r="J21" s="33">
        <f t="shared" si="17"/>
        <v>6525.454</v>
      </c>
      <c r="K21" s="33">
        <f t="shared" si="18"/>
        <v>6015.868</v>
      </c>
      <c r="L21" s="33">
        <f t="shared" si="19"/>
        <v>5725.287</v>
      </c>
      <c r="M21" s="58" t="s">
        <v>231</v>
      </c>
      <c r="N21" s="55" t="s">
        <v>1</v>
      </c>
      <c r="O21" s="55" t="s">
        <v>375</v>
      </c>
      <c r="Q21" s="55" t="s">
        <v>12</v>
      </c>
      <c r="R21" s="2">
        <f t="shared" si="24"/>
        <v>0</v>
      </c>
      <c r="S21" s="2">
        <f t="shared" si="24"/>
        <v>0</v>
      </c>
      <c r="T21" s="2">
        <f t="shared" si="24"/>
        <v>0</v>
      </c>
      <c r="U21" s="55" t="s">
        <v>1</v>
      </c>
      <c r="V21" s="7"/>
      <c r="X21" s="62" t="s">
        <v>37</v>
      </c>
      <c r="AB21" s="65" t="str">
        <f aca="true" t="shared" si="26" ref="AB21:BP21">+AB106</f>
        <v>  |</v>
      </c>
      <c r="AC21" s="65">
        <f t="shared" si="26"/>
      </c>
      <c r="AD21" s="65">
        <f t="shared" si="26"/>
      </c>
      <c r="AE21" s="65">
        <f t="shared" si="26"/>
      </c>
      <c r="AF21" s="65">
        <f t="shared" si="26"/>
      </c>
      <c r="AG21" s="65">
        <f t="shared" si="26"/>
      </c>
      <c r="AH21" s="65">
        <f t="shared" si="26"/>
      </c>
      <c r="AI21" s="65">
        <f t="shared" si="26"/>
      </c>
      <c r="AJ21" s="65">
        <f t="shared" si="26"/>
      </c>
      <c r="AK21" s="65">
        <f t="shared" si="26"/>
      </c>
      <c r="AL21" s="65">
        <f t="shared" si="26"/>
      </c>
      <c r="AM21" s="65">
        <f t="shared" si="26"/>
      </c>
      <c r="AN21" s="65">
        <f t="shared" si="26"/>
      </c>
      <c r="AO21" s="65">
        <f t="shared" si="26"/>
      </c>
      <c r="AP21" s="65">
        <f t="shared" si="26"/>
      </c>
      <c r="AQ21" s="65">
        <f t="shared" si="26"/>
      </c>
      <c r="AR21" s="65">
        <f t="shared" si="26"/>
      </c>
      <c r="AS21" s="65">
        <f t="shared" si="26"/>
      </c>
      <c r="AT21" s="65">
        <f t="shared" si="26"/>
      </c>
      <c r="AU21" s="65">
        <f t="shared" si="26"/>
      </c>
      <c r="AV21" s="65" t="str">
        <f t="shared" si="26"/>
        <v>  |</v>
      </c>
      <c r="AW21" s="65">
        <f t="shared" si="26"/>
      </c>
      <c r="AX21" s="65">
        <f t="shared" si="26"/>
      </c>
      <c r="AY21" s="65">
        <f t="shared" si="26"/>
      </c>
      <c r="AZ21" s="65">
        <f t="shared" si="26"/>
      </c>
      <c r="BA21" s="65">
        <f t="shared" si="26"/>
      </c>
      <c r="BB21" s="65">
        <f t="shared" si="26"/>
      </c>
      <c r="BC21" s="65">
        <f t="shared" si="26"/>
      </c>
      <c r="BD21" s="65">
        <f t="shared" si="26"/>
      </c>
      <c r="BE21" s="65">
        <f t="shared" si="26"/>
      </c>
      <c r="BF21" s="65">
        <f t="shared" si="26"/>
      </c>
      <c r="BG21" s="65">
        <f t="shared" si="26"/>
      </c>
      <c r="BH21" s="65">
        <f t="shared" si="26"/>
      </c>
      <c r="BI21" s="65">
        <f t="shared" si="26"/>
      </c>
      <c r="BJ21" s="65">
        <f t="shared" si="26"/>
      </c>
      <c r="BK21" s="65">
        <f t="shared" si="26"/>
      </c>
      <c r="BL21" s="65">
        <f t="shared" si="26"/>
      </c>
      <c r="BM21" s="65">
        <f t="shared" si="26"/>
      </c>
      <c r="BN21" s="65">
        <f t="shared" si="26"/>
      </c>
      <c r="BO21" s="65">
        <f t="shared" si="26"/>
      </c>
      <c r="BP21" s="65" t="str">
        <f t="shared" si="26"/>
        <v>  |</v>
      </c>
      <c r="BT21" s="68"/>
      <c r="BU21" s="41" t="s">
        <v>47</v>
      </c>
      <c r="BV21" s="60"/>
      <c r="BW21" s="28"/>
      <c r="BX21" s="26"/>
      <c r="BY21" s="73" t="str">
        <f t="shared" si="2"/>
        <v>----</v>
      </c>
      <c r="BZ21" s="73" t="s">
        <v>258</v>
      </c>
      <c r="CA21" s="73" t="str">
        <f t="shared" si="3"/>
        <v>----</v>
      </c>
      <c r="CB21" s="73" t="s">
        <v>258</v>
      </c>
      <c r="CC21" s="73" t="str">
        <f t="shared" si="4"/>
        <v>----</v>
      </c>
      <c r="CD21" s="26"/>
      <c r="CE21" s="60"/>
      <c r="CF21" s="26"/>
      <c r="CG21" s="60"/>
      <c r="CH21" s="27"/>
      <c r="CI21" s="7"/>
      <c r="CJ21" s="7"/>
      <c r="CL21" s="229" t="s">
        <v>437</v>
      </c>
      <c r="CM21" s="60"/>
      <c r="CN21" s="60"/>
      <c r="CO21" s="198"/>
      <c r="CP21" s="271">
        <f>+R50</f>
        <v>41002.19</v>
      </c>
      <c r="CQ21" s="179">
        <f t="shared" si="21"/>
        <v>69.77368395652427</v>
      </c>
      <c r="CR21" s="271">
        <f>+S50</f>
        <v>41091.479</v>
      </c>
      <c r="CS21" s="179">
        <f t="shared" si="22"/>
        <v>56.20106894442627</v>
      </c>
      <c r="CT21" s="271">
        <f>+T50</f>
        <v>60735.869</v>
      </c>
      <c r="CU21" s="230">
        <f t="shared" si="23"/>
        <v>60.56095503284548</v>
      </c>
      <c r="CV21" s="190" t="s">
        <v>231</v>
      </c>
      <c r="CX21" s="90" t="s">
        <v>496</v>
      </c>
      <c r="CY21" s="91"/>
      <c r="CZ21" s="91"/>
      <c r="DA21" s="235">
        <f>+R163</f>
        <v>7.3</v>
      </c>
      <c r="DB21" s="267">
        <f>+Q147</f>
        <v>-27.00901989879496</v>
      </c>
      <c r="DC21" s="268" t="s">
        <v>98</v>
      </c>
      <c r="DD21" s="267">
        <f>+R147</f>
        <v>7.351360794542619</v>
      </c>
      <c r="DE21" s="268" t="s">
        <v>98</v>
      </c>
      <c r="DF21" s="267">
        <f>+S147</f>
        <v>15.270609161130036</v>
      </c>
      <c r="DG21" s="269" t="s">
        <v>98</v>
      </c>
      <c r="DH21" s="58" t="s">
        <v>231</v>
      </c>
      <c r="DJ21" s="369" t="s">
        <v>590</v>
      </c>
      <c r="DK21" s="461" t="s">
        <v>591</v>
      </c>
      <c r="DL21" s="369" t="s">
        <v>564</v>
      </c>
      <c r="DM21" s="369" t="s">
        <v>565</v>
      </c>
      <c r="DN21" s="369" t="s">
        <v>566</v>
      </c>
      <c r="DO21" s="462" t="s">
        <v>567</v>
      </c>
      <c r="DQ21" s="58" t="s">
        <v>231</v>
      </c>
    </row>
    <row r="22" spans="2:121" ht="19.5" customHeight="1" thickBot="1">
      <c r="B22" s="65" t="s">
        <v>2338</v>
      </c>
      <c r="D22" s="140" t="s">
        <v>10</v>
      </c>
      <c r="F22" s="405">
        <v>380888</v>
      </c>
      <c r="G22" s="378">
        <v>380888</v>
      </c>
      <c r="H22" s="406">
        <v>380888</v>
      </c>
      <c r="I22" s="119" t="s">
        <v>231</v>
      </c>
      <c r="J22" s="33">
        <f t="shared" si="17"/>
        <v>380.888</v>
      </c>
      <c r="K22" s="33">
        <f t="shared" si="18"/>
        <v>380.888</v>
      </c>
      <c r="L22" s="33">
        <f t="shared" si="19"/>
        <v>380.888</v>
      </c>
      <c r="M22" s="58" t="s">
        <v>231</v>
      </c>
      <c r="N22" s="55" t="s">
        <v>1</v>
      </c>
      <c r="O22" s="55" t="s">
        <v>402</v>
      </c>
      <c r="Q22" s="55" t="s">
        <v>46</v>
      </c>
      <c r="R22" s="2">
        <f>J24+J27</f>
        <v>45523.058</v>
      </c>
      <c r="S22" s="2">
        <f>K24+K27</f>
        <v>34292.592</v>
      </c>
      <c r="T22" s="2">
        <f>L24+L27</f>
        <v>50555.692</v>
      </c>
      <c r="U22" s="55" t="s">
        <v>1</v>
      </c>
      <c r="V22" s="7"/>
      <c r="X22" s="62" t="s">
        <v>42</v>
      </c>
      <c r="Z22" s="55" t="s">
        <v>271</v>
      </c>
      <c r="AB22" s="65" t="str">
        <f aca="true" t="shared" si="27" ref="AB22:BP22">+AB107</f>
        <v>  |</v>
      </c>
      <c r="AC22" s="65">
        <f t="shared" si="27"/>
      </c>
      <c r="AD22" s="65">
        <f t="shared" si="27"/>
      </c>
      <c r="AE22" s="65">
        <f t="shared" si="27"/>
      </c>
      <c r="AF22" s="65">
        <f t="shared" si="27"/>
      </c>
      <c r="AG22" s="65">
        <f t="shared" si="27"/>
      </c>
      <c r="AH22" s="65">
        <f t="shared" si="27"/>
      </c>
      <c r="AI22" s="65">
        <f t="shared" si="27"/>
      </c>
      <c r="AJ22" s="65">
        <f t="shared" si="27"/>
      </c>
      <c r="AK22" s="65">
        <f t="shared" si="27"/>
      </c>
      <c r="AL22" s="65">
        <f t="shared" si="27"/>
      </c>
      <c r="AM22" s="65">
        <f t="shared" si="27"/>
      </c>
      <c r="AN22" s="65">
        <f t="shared" si="27"/>
      </c>
      <c r="AO22" s="65">
        <f t="shared" si="27"/>
      </c>
      <c r="AP22" s="65">
        <f t="shared" si="27"/>
      </c>
      <c r="AQ22" s="65">
        <f t="shared" si="27"/>
      </c>
      <c r="AR22" s="65">
        <f t="shared" si="27"/>
      </c>
      <c r="AS22" s="65">
        <f t="shared" si="27"/>
      </c>
      <c r="AT22" s="65">
        <f t="shared" si="27"/>
      </c>
      <c r="AU22" s="65">
        <f t="shared" si="27"/>
      </c>
      <c r="AV22" s="65" t="str">
        <f t="shared" si="27"/>
        <v>  |</v>
      </c>
      <c r="AW22" s="65">
        <f t="shared" si="27"/>
      </c>
      <c r="AX22" s="65">
        <f t="shared" si="27"/>
      </c>
      <c r="AY22" s="65">
        <f t="shared" si="27"/>
      </c>
      <c r="AZ22" s="65">
        <f t="shared" si="27"/>
      </c>
      <c r="BA22" s="65">
        <f t="shared" si="27"/>
      </c>
      <c r="BB22" s="65">
        <f t="shared" si="27"/>
      </c>
      <c r="BC22" s="65">
        <f t="shared" si="27"/>
      </c>
      <c r="BD22" s="65">
        <f t="shared" si="27"/>
      </c>
      <c r="BE22" s="65">
        <f t="shared" si="27"/>
      </c>
      <c r="BF22" s="65">
        <f t="shared" si="27"/>
      </c>
      <c r="BG22" s="65">
        <f t="shared" si="27"/>
      </c>
      <c r="BH22" s="65">
        <f t="shared" si="27"/>
      </c>
      <c r="BI22" s="65">
        <f t="shared" si="27"/>
      </c>
      <c r="BJ22" s="65">
        <f t="shared" si="27"/>
      </c>
      <c r="BK22" s="65">
        <f t="shared" si="27"/>
      </c>
      <c r="BL22" s="65">
        <f t="shared" si="27"/>
      </c>
      <c r="BM22" s="65">
        <f t="shared" si="27"/>
      </c>
      <c r="BN22" s="65">
        <f t="shared" si="27"/>
      </c>
      <c r="BO22" s="65">
        <f t="shared" si="27"/>
      </c>
      <c r="BP22" s="65" t="str">
        <f t="shared" si="27"/>
        <v>  |</v>
      </c>
      <c r="BT22" s="126" t="s">
        <v>359</v>
      </c>
      <c r="BU22" s="26"/>
      <c r="BV22" s="60"/>
      <c r="BW22" s="28" t="s">
        <v>51</v>
      </c>
      <c r="BX22" s="26"/>
      <c r="BY22" s="73" t="str">
        <f t="shared" si="2"/>
        <v>----</v>
      </c>
      <c r="BZ22" s="73" t="s">
        <v>258</v>
      </c>
      <c r="CA22" s="73" t="str">
        <f t="shared" si="3"/>
        <v>----</v>
      </c>
      <c r="CB22" s="73" t="s">
        <v>258</v>
      </c>
      <c r="CC22" s="73" t="str">
        <f t="shared" si="4"/>
        <v>----</v>
      </c>
      <c r="CD22" s="26"/>
      <c r="CE22" s="127" t="s">
        <v>360</v>
      </c>
      <c r="CF22" s="29"/>
      <c r="CG22" s="29"/>
      <c r="CH22" s="30"/>
      <c r="CI22" s="7"/>
      <c r="CJ22" s="7"/>
      <c r="CL22" s="231" t="s">
        <v>438</v>
      </c>
      <c r="CM22" s="60"/>
      <c r="CN22" s="60"/>
      <c r="CO22" s="198"/>
      <c r="CP22" s="271">
        <f>+R53</f>
        <v>11689.824</v>
      </c>
      <c r="CQ22" s="179">
        <f t="shared" si="21"/>
        <v>19.89264683870282</v>
      </c>
      <c r="CR22" s="271">
        <f>+S53</f>
        <v>12286.773</v>
      </c>
      <c r="CS22" s="179">
        <f t="shared" si="22"/>
        <v>16.80469511641368</v>
      </c>
      <c r="CT22" s="271">
        <f>+T53</f>
        <v>17333.75</v>
      </c>
      <c r="CU22" s="230">
        <f t="shared" si="23"/>
        <v>17.283830322746933</v>
      </c>
      <c r="CV22" s="190" t="s">
        <v>231</v>
      </c>
      <c r="DJ22" s="369" t="s">
        <v>592</v>
      </c>
      <c r="DK22" s="461" t="s">
        <v>593</v>
      </c>
      <c r="DL22" s="369" t="s">
        <v>564</v>
      </c>
      <c r="DM22" s="369" t="s">
        <v>565</v>
      </c>
      <c r="DN22" s="369" t="s">
        <v>566</v>
      </c>
      <c r="DO22" s="462" t="s">
        <v>567</v>
      </c>
      <c r="DQ22" s="58" t="s">
        <v>231</v>
      </c>
    </row>
    <row r="23" spans="2:121" ht="19.5" customHeight="1" thickBot="1">
      <c r="B23" s="65" t="s">
        <v>2340</v>
      </c>
      <c r="D23" s="140" t="s">
        <v>12</v>
      </c>
      <c r="F23" s="405">
        <v>0</v>
      </c>
      <c r="G23" s="378">
        <v>0</v>
      </c>
      <c r="H23" s="406">
        <v>0</v>
      </c>
      <c r="I23" s="119" t="s">
        <v>231</v>
      </c>
      <c r="J23" s="33">
        <f t="shared" si="17"/>
        <v>0</v>
      </c>
      <c r="K23" s="33">
        <f t="shared" si="18"/>
        <v>0</v>
      </c>
      <c r="L23" s="33">
        <f t="shared" si="19"/>
        <v>0</v>
      </c>
      <c r="M23" s="58" t="s">
        <v>231</v>
      </c>
      <c r="N23" s="55" t="s">
        <v>1</v>
      </c>
      <c r="O23" s="55" t="s">
        <v>376</v>
      </c>
      <c r="Q23" s="55" t="s">
        <v>26</v>
      </c>
      <c r="R23" s="2">
        <f aca="true" t="shared" si="28" ref="R23:T24">J28</f>
        <v>12900.625</v>
      </c>
      <c r="S23" s="2">
        <f t="shared" si="28"/>
        <v>16346.923</v>
      </c>
      <c r="T23" s="2">
        <f t="shared" si="28"/>
        <v>20695.164</v>
      </c>
      <c r="U23" s="55" t="s">
        <v>1</v>
      </c>
      <c r="V23" s="7"/>
      <c r="W23" s="7"/>
      <c r="X23" s="62" t="s">
        <v>49</v>
      </c>
      <c r="AB23" s="65" t="str">
        <f aca="true" t="shared" si="29" ref="AB23:BP23">+AB108</f>
        <v>  |</v>
      </c>
      <c r="AC23" s="65">
        <f t="shared" si="29"/>
      </c>
      <c r="AD23" s="65">
        <f t="shared" si="29"/>
      </c>
      <c r="AE23" s="65">
        <f t="shared" si="29"/>
      </c>
      <c r="AF23" s="65">
        <f t="shared" si="29"/>
      </c>
      <c r="AG23" s="65">
        <f t="shared" si="29"/>
      </c>
      <c r="AH23" s="65">
        <f t="shared" si="29"/>
      </c>
      <c r="AI23" s="65">
        <f t="shared" si="29"/>
      </c>
      <c r="AJ23" s="65">
        <f t="shared" si="29"/>
      </c>
      <c r="AK23" s="65">
        <f t="shared" si="29"/>
      </c>
      <c r="AL23" s="65">
        <f t="shared" si="29"/>
      </c>
      <c r="AM23" s="65">
        <f t="shared" si="29"/>
      </c>
      <c r="AN23" s="65">
        <f t="shared" si="29"/>
      </c>
      <c r="AO23" s="65">
        <f t="shared" si="29"/>
      </c>
      <c r="AP23" s="65">
        <f t="shared" si="29"/>
      </c>
      <c r="AQ23" s="65">
        <f t="shared" si="29"/>
      </c>
      <c r="AR23" s="65">
        <f t="shared" si="29"/>
      </c>
      <c r="AS23" s="65">
        <f t="shared" si="29"/>
      </c>
      <c r="AT23" s="65">
        <f t="shared" si="29"/>
      </c>
      <c r="AU23" s="65">
        <f t="shared" si="29"/>
      </c>
      <c r="AV23" s="65" t="str">
        <f t="shared" si="29"/>
        <v>  |</v>
      </c>
      <c r="AW23" s="65">
        <f t="shared" si="29"/>
      </c>
      <c r="AX23" s="65">
        <f t="shared" si="29"/>
      </c>
      <c r="AY23" s="65">
        <f t="shared" si="29"/>
      </c>
      <c r="AZ23" s="65">
        <f t="shared" si="29"/>
      </c>
      <c r="BA23" s="65">
        <f t="shared" si="29"/>
      </c>
      <c r="BB23" s="65">
        <f t="shared" si="29"/>
      </c>
      <c r="BC23" s="65">
        <f t="shared" si="29"/>
      </c>
      <c r="BD23" s="65">
        <f t="shared" si="29"/>
      </c>
      <c r="BE23" s="65">
        <f t="shared" si="29"/>
      </c>
      <c r="BF23" s="65">
        <f t="shared" si="29"/>
      </c>
      <c r="BG23" s="65">
        <f t="shared" si="29"/>
      </c>
      <c r="BH23" s="65">
        <f t="shared" si="29"/>
      </c>
      <c r="BI23" s="65">
        <f t="shared" si="29"/>
      </c>
      <c r="BJ23" s="65">
        <f t="shared" si="29"/>
      </c>
      <c r="BK23" s="65">
        <f t="shared" si="29"/>
      </c>
      <c r="BL23" s="65">
        <f t="shared" si="29"/>
      </c>
      <c r="BM23" s="65">
        <f t="shared" si="29"/>
      </c>
      <c r="BN23" s="65">
        <f t="shared" si="29"/>
      </c>
      <c r="BO23" s="65">
        <f t="shared" si="29"/>
      </c>
      <c r="BP23" s="65" t="str">
        <f t="shared" si="29"/>
        <v>  |</v>
      </c>
      <c r="BT23" s="68"/>
      <c r="BU23" s="60"/>
      <c r="BV23" s="60"/>
      <c r="BW23" s="28"/>
      <c r="BX23" s="26"/>
      <c r="BY23" s="73" t="str">
        <f t="shared" si="2"/>
        <v>----</v>
      </c>
      <c r="BZ23" s="73" t="s">
        <v>258</v>
      </c>
      <c r="CA23" s="73" t="str">
        <f t="shared" si="3"/>
        <v>----</v>
      </c>
      <c r="CB23" s="73" t="s">
        <v>258</v>
      </c>
      <c r="CC23" s="73" t="str">
        <f t="shared" si="4"/>
        <v>----</v>
      </c>
      <c r="CD23" s="26"/>
      <c r="CE23" s="60"/>
      <c r="CF23" s="60"/>
      <c r="CG23" s="60"/>
      <c r="CH23" s="27"/>
      <c r="CI23" s="7"/>
      <c r="CJ23" s="7"/>
      <c r="CL23" s="232" t="s">
        <v>429</v>
      </c>
      <c r="CM23" s="60"/>
      <c r="CN23" s="60"/>
      <c r="CO23" s="198">
        <f>+R158</f>
        <v>24.1</v>
      </c>
      <c r="CP23" s="270">
        <f>+CP20-CP21-CP22</f>
        <v>6072.533999999992</v>
      </c>
      <c r="CQ23" s="179">
        <f t="shared" si="21"/>
        <v>10.333669204772907</v>
      </c>
      <c r="CR23" s="270">
        <f>+CR20-CR21-CR22</f>
        <v>19736.867999999995</v>
      </c>
      <c r="CS23" s="179">
        <f t="shared" si="22"/>
        <v>26.99423593916005</v>
      </c>
      <c r="CT23" s="270">
        <f>+CT20-CT21-CT22</f>
        <v>22219.204000000005</v>
      </c>
      <c r="CU23" s="230">
        <f t="shared" si="23"/>
        <v>22.155214644407586</v>
      </c>
      <c r="CV23" s="190" t="s">
        <v>231</v>
      </c>
      <c r="CX23" s="244" t="s">
        <v>472</v>
      </c>
      <c r="CY23" s="83"/>
      <c r="CZ23" s="83"/>
      <c r="DA23" s="83"/>
      <c r="DB23" s="205">
        <f>+$R$7</f>
        <v>2020</v>
      </c>
      <c r="DC23" s="206"/>
      <c r="DD23" s="205">
        <f>+$S$7</f>
        <v>2021</v>
      </c>
      <c r="DE23" s="206"/>
      <c r="DF23" s="205">
        <f>+$T$7</f>
        <v>2022</v>
      </c>
      <c r="DG23" s="84"/>
      <c r="DH23" s="58" t="s">
        <v>231</v>
      </c>
      <c r="DJ23" s="369" t="s">
        <v>594</v>
      </c>
      <c r="DK23" s="461" t="s">
        <v>595</v>
      </c>
      <c r="DL23" s="369" t="s">
        <v>564</v>
      </c>
      <c r="DM23" s="369" t="s">
        <v>565</v>
      </c>
      <c r="DN23" s="369" t="s">
        <v>566</v>
      </c>
      <c r="DO23" s="462" t="s">
        <v>567</v>
      </c>
      <c r="DQ23" s="58" t="s">
        <v>231</v>
      </c>
    </row>
    <row r="24" spans="2:121" ht="19.5" customHeight="1" thickBot="1">
      <c r="B24" s="65" t="s">
        <v>2341</v>
      </c>
      <c r="D24" s="445" t="s">
        <v>367</v>
      </c>
      <c r="F24" s="405">
        <v>45523058</v>
      </c>
      <c r="G24" s="378">
        <v>34292592</v>
      </c>
      <c r="H24" s="406">
        <v>50555692</v>
      </c>
      <c r="J24" s="33">
        <f t="shared" si="17"/>
        <v>45523.058</v>
      </c>
      <c r="K24" s="33">
        <f t="shared" si="18"/>
        <v>34292.592</v>
      </c>
      <c r="L24" s="33">
        <f t="shared" si="19"/>
        <v>50555.692</v>
      </c>
      <c r="M24" s="58" t="s">
        <v>231</v>
      </c>
      <c r="N24" s="55" t="s">
        <v>1</v>
      </c>
      <c r="O24" s="55" t="s">
        <v>377</v>
      </c>
      <c r="Q24" s="55" t="s">
        <v>30</v>
      </c>
      <c r="R24" s="2">
        <f t="shared" si="28"/>
        <v>2130.82</v>
      </c>
      <c r="S24" s="2">
        <f t="shared" si="28"/>
        <v>10238.957</v>
      </c>
      <c r="T24" s="2">
        <f t="shared" si="28"/>
        <v>2257.323</v>
      </c>
      <c r="U24" s="55" t="s">
        <v>1</v>
      </c>
      <c r="V24" s="7"/>
      <c r="X24" s="62" t="s">
        <v>37</v>
      </c>
      <c r="Z24" s="65" t="s">
        <v>272</v>
      </c>
      <c r="AA24" s="65"/>
      <c r="AB24" s="65" t="str">
        <f aca="true" t="shared" si="30" ref="AB24:BP24">+AB109</f>
        <v>--</v>
      </c>
      <c r="AC24" s="65" t="str">
        <f t="shared" si="30"/>
        <v>--</v>
      </c>
      <c r="AD24" s="65" t="str">
        <f t="shared" si="30"/>
        <v>--</v>
      </c>
      <c r="AE24" s="65" t="str">
        <f t="shared" si="30"/>
        <v>--</v>
      </c>
      <c r="AF24" s="65" t="str">
        <f t="shared" si="30"/>
        <v>--</v>
      </c>
      <c r="AG24" s="65" t="str">
        <f t="shared" si="30"/>
        <v>--</v>
      </c>
      <c r="AH24" s="65" t="str">
        <f t="shared" si="30"/>
        <v>--</v>
      </c>
      <c r="AI24" s="65" t="str">
        <f t="shared" si="30"/>
        <v>--</v>
      </c>
      <c r="AJ24" s="65" t="str">
        <f t="shared" si="30"/>
        <v>--</v>
      </c>
      <c r="AK24" s="65" t="str">
        <f t="shared" si="30"/>
        <v>--</v>
      </c>
      <c r="AL24" s="65" t="str">
        <f t="shared" si="30"/>
        <v>--</v>
      </c>
      <c r="AM24" s="65" t="str">
        <f t="shared" si="30"/>
        <v>--</v>
      </c>
      <c r="AN24" s="65" t="str">
        <f t="shared" si="30"/>
        <v>--</v>
      </c>
      <c r="AO24" s="65" t="str">
        <f t="shared" si="30"/>
        <v>--</v>
      </c>
      <c r="AP24" s="65" t="str">
        <f t="shared" si="30"/>
        <v>--</v>
      </c>
      <c r="AQ24" s="65" t="str">
        <f t="shared" si="30"/>
        <v>--</v>
      </c>
      <c r="AR24" s="65" t="str">
        <f t="shared" si="30"/>
        <v>--</v>
      </c>
      <c r="AS24" s="65" t="str">
        <f t="shared" si="30"/>
        <v>--</v>
      </c>
      <c r="AT24" s="65" t="str">
        <f t="shared" si="30"/>
        <v>--</v>
      </c>
      <c r="AU24" s="65" t="str">
        <f t="shared" si="30"/>
        <v>--</v>
      </c>
      <c r="AV24" s="65" t="str">
        <f t="shared" si="30"/>
        <v>--</v>
      </c>
      <c r="AW24" s="65" t="str">
        <f t="shared" si="30"/>
        <v>--</v>
      </c>
      <c r="AX24" s="65" t="str">
        <f t="shared" si="30"/>
        <v>--</v>
      </c>
      <c r="AY24" s="65" t="str">
        <f t="shared" si="30"/>
        <v>--</v>
      </c>
      <c r="AZ24" s="65" t="str">
        <f t="shared" si="30"/>
        <v>--</v>
      </c>
      <c r="BA24" s="65" t="str">
        <f t="shared" si="30"/>
        <v>--</v>
      </c>
      <c r="BB24" s="65" t="str">
        <f t="shared" si="30"/>
        <v>--</v>
      </c>
      <c r="BC24" s="65" t="str">
        <f t="shared" si="30"/>
        <v>--</v>
      </c>
      <c r="BD24" s="65" t="str">
        <f t="shared" si="30"/>
        <v>--</v>
      </c>
      <c r="BE24" s="65" t="str">
        <f t="shared" si="30"/>
        <v>--</v>
      </c>
      <c r="BF24" s="65" t="str">
        <f t="shared" si="30"/>
        <v>--</v>
      </c>
      <c r="BG24" s="65" t="str">
        <f t="shared" si="30"/>
        <v>--</v>
      </c>
      <c r="BH24" s="65" t="str">
        <f t="shared" si="30"/>
        <v>--</v>
      </c>
      <c r="BI24" s="65" t="str">
        <f t="shared" si="30"/>
        <v>--</v>
      </c>
      <c r="BJ24" s="65" t="str">
        <f t="shared" si="30"/>
        <v>--</v>
      </c>
      <c r="BK24" s="65" t="str">
        <f t="shared" si="30"/>
        <v>--</v>
      </c>
      <c r="BL24" s="65" t="str">
        <f t="shared" si="30"/>
        <v>--</v>
      </c>
      <c r="BM24" s="65" t="str">
        <f t="shared" si="30"/>
        <v>--</v>
      </c>
      <c r="BN24" s="65" t="str">
        <f t="shared" si="30"/>
        <v>--</v>
      </c>
      <c r="BO24" s="65" t="str">
        <f t="shared" si="30"/>
        <v>--</v>
      </c>
      <c r="BP24" s="65" t="str">
        <f t="shared" si="30"/>
        <v>--</v>
      </c>
      <c r="BT24" s="68"/>
      <c r="BU24" s="26"/>
      <c r="BV24" s="477" t="s">
        <v>2333</v>
      </c>
      <c r="BW24" s="28" t="s">
        <v>58</v>
      </c>
      <c r="BX24" s="26"/>
      <c r="BY24" s="73" t="str">
        <f t="shared" si="2"/>
        <v>----</v>
      </c>
      <c r="BZ24" s="73" t="s">
        <v>258</v>
      </c>
      <c r="CA24" s="73" t="str">
        <f t="shared" si="3"/>
        <v>----</v>
      </c>
      <c r="CB24" s="73" t="s">
        <v>258</v>
      </c>
      <c r="CC24" s="73" t="str">
        <f t="shared" si="4"/>
        <v>----</v>
      </c>
      <c r="CD24" s="26"/>
      <c r="CE24" s="60"/>
      <c r="CF24" s="26" t="s">
        <v>59</v>
      </c>
      <c r="CG24" s="60"/>
      <c r="CH24" s="27"/>
      <c r="CI24" s="1"/>
      <c r="CJ24" s="1"/>
      <c r="CL24" s="229" t="s">
        <v>430</v>
      </c>
      <c r="CM24" s="60"/>
      <c r="CN24" s="60"/>
      <c r="CO24" s="198">
        <f>+R160*R158/100</f>
        <v>16.5326</v>
      </c>
      <c r="CP24" s="271">
        <f>+R55+R77</f>
        <v>14356.206</v>
      </c>
      <c r="CQ24" s="179">
        <f t="shared" si="21"/>
        <v>24.43004581605903</v>
      </c>
      <c r="CR24" s="271">
        <f>+S55+S77</f>
        <v>13112.056</v>
      </c>
      <c r="CS24" s="179">
        <f t="shared" si="22"/>
        <v>17.93343975910865</v>
      </c>
      <c r="CT24" s="271">
        <f>+T55+T77</f>
        <v>15312.149000000001</v>
      </c>
      <c r="CU24" s="230">
        <f t="shared" si="23"/>
        <v>15.26805135603197</v>
      </c>
      <c r="CV24" s="190" t="s">
        <v>231</v>
      </c>
      <c r="CX24" s="85" t="s">
        <v>546</v>
      </c>
      <c r="CY24" s="60"/>
      <c r="CZ24" s="60"/>
      <c r="DA24" s="60"/>
      <c r="DB24" s="271">
        <f>+SUM(R30:R35)-SUM(R18:R21)</f>
        <v>42475.761</v>
      </c>
      <c r="DC24" s="185">
        <f>+DB24/ABS(DB25)*100</f>
        <v>99.80091630519685</v>
      </c>
      <c r="DD24" s="271">
        <f>+SUM(S30:S35)-SUM(S18:S21)</f>
        <v>42654.35799999999</v>
      </c>
      <c r="DE24" s="185">
        <f>+DD24/ABS(DD25)*100</f>
        <v>110.4711666821716</v>
      </c>
      <c r="DF24" s="271">
        <f>+SUM(T30:T35)-SUM(T18:T21)</f>
        <v>44390.337</v>
      </c>
      <c r="DG24" s="263">
        <f>+DF24/ABS(DF25)*100</f>
        <v>128.24222498773415</v>
      </c>
      <c r="DH24" s="58" t="s">
        <v>231</v>
      </c>
      <c r="DJ24" s="369" t="s">
        <v>596</v>
      </c>
      <c r="DK24" s="461" t="s">
        <v>597</v>
      </c>
      <c r="DL24" s="369" t="s">
        <v>564</v>
      </c>
      <c r="DM24" s="369" t="s">
        <v>565</v>
      </c>
      <c r="DN24" s="369" t="s">
        <v>566</v>
      </c>
      <c r="DO24" s="462" t="s">
        <v>567</v>
      </c>
      <c r="DQ24" s="58" t="s">
        <v>231</v>
      </c>
    </row>
    <row r="25" spans="3:121" ht="19.5" customHeight="1">
      <c r="C25" s="137" t="s">
        <v>243</v>
      </c>
      <c r="D25" s="445" t="s">
        <v>372</v>
      </c>
      <c r="E25" s="66" t="s">
        <v>2399</v>
      </c>
      <c r="F25" s="405">
        <v>68775</v>
      </c>
      <c r="G25" s="378">
        <v>63151</v>
      </c>
      <c r="H25" s="406">
        <v>69101</v>
      </c>
      <c r="I25" s="119" t="s">
        <v>231</v>
      </c>
      <c r="J25" s="33">
        <f t="shared" si="17"/>
        <v>68.775</v>
      </c>
      <c r="K25" s="33">
        <f t="shared" si="18"/>
        <v>63.151</v>
      </c>
      <c r="L25" s="33">
        <f t="shared" si="19"/>
        <v>69.101</v>
      </c>
      <c r="M25" s="58" t="s">
        <v>231</v>
      </c>
      <c r="N25" s="55" t="s">
        <v>1</v>
      </c>
      <c r="O25" s="55" t="s">
        <v>378</v>
      </c>
      <c r="Q25" s="55" t="s">
        <v>55</v>
      </c>
      <c r="R25" s="2">
        <f>J30+J31</f>
        <v>5415.2699999999995</v>
      </c>
      <c r="S25" s="2">
        <f>K30+K31</f>
        <v>4043.055</v>
      </c>
      <c r="T25" s="2">
        <f>L30+L31</f>
        <v>9775.888</v>
      </c>
      <c r="U25" s="55" t="s">
        <v>1</v>
      </c>
      <c r="V25" s="7"/>
      <c r="X25" s="62" t="s">
        <v>60</v>
      </c>
      <c r="AB25" s="65" t="str">
        <f aca="true" t="shared" si="31" ref="AB25:BP25">+AB110</f>
        <v>  |</v>
      </c>
      <c r="AC25" s="65">
        <f t="shared" si="31"/>
      </c>
      <c r="AD25" s="65">
        <f t="shared" si="31"/>
      </c>
      <c r="AE25" s="65">
        <f t="shared" si="31"/>
      </c>
      <c r="AF25" s="65">
        <f t="shared" si="31"/>
      </c>
      <c r="AG25" s="65">
        <f t="shared" si="31"/>
      </c>
      <c r="AH25" s="65">
        <f t="shared" si="31"/>
      </c>
      <c r="AI25" s="65">
        <f t="shared" si="31"/>
      </c>
      <c r="AJ25" s="65">
        <f t="shared" si="31"/>
      </c>
      <c r="AK25" s="65">
        <f t="shared" si="31"/>
      </c>
      <c r="AL25" s="65">
        <f t="shared" si="31"/>
      </c>
      <c r="AM25" s="65">
        <f t="shared" si="31"/>
      </c>
      <c r="AN25" s="65">
        <f t="shared" si="31"/>
      </c>
      <c r="AO25" s="65">
        <f t="shared" si="31"/>
      </c>
      <c r="AP25" s="65">
        <f t="shared" si="31"/>
      </c>
      <c r="AQ25" s="65">
        <f t="shared" si="31"/>
      </c>
      <c r="AR25" s="65">
        <f t="shared" si="31"/>
      </c>
      <c r="AS25" s="65">
        <f t="shared" si="31"/>
      </c>
      <c r="AT25" s="65">
        <f t="shared" si="31"/>
      </c>
      <c r="AU25" s="65">
        <f t="shared" si="31"/>
      </c>
      <c r="AV25" s="65" t="str">
        <f t="shared" si="31"/>
        <v>  |</v>
      </c>
      <c r="AW25" s="65">
        <f t="shared" si="31"/>
      </c>
      <c r="AX25" s="65">
        <f t="shared" si="31"/>
      </c>
      <c r="AY25" s="65">
        <f t="shared" si="31"/>
      </c>
      <c r="AZ25" s="65">
        <f t="shared" si="31"/>
      </c>
      <c r="BA25" s="65">
        <f t="shared" si="31"/>
      </c>
      <c r="BB25" s="65">
        <f t="shared" si="31"/>
      </c>
      <c r="BC25" s="65">
        <f t="shared" si="31"/>
      </c>
      <c r="BD25" s="65">
        <f t="shared" si="31"/>
      </c>
      <c r="BE25" s="65">
        <f t="shared" si="31"/>
      </c>
      <c r="BF25" s="65">
        <f t="shared" si="31"/>
      </c>
      <c r="BG25" s="65">
        <f t="shared" si="31"/>
      </c>
      <c r="BH25" s="65">
        <f t="shared" si="31"/>
      </c>
      <c r="BI25" s="65">
        <f t="shared" si="31"/>
      </c>
      <c r="BJ25" s="65">
        <f t="shared" si="31"/>
      </c>
      <c r="BK25" s="65">
        <f t="shared" si="31"/>
      </c>
      <c r="BL25" s="65">
        <f t="shared" si="31"/>
      </c>
      <c r="BM25" s="65">
        <f t="shared" si="31"/>
      </c>
      <c r="BN25" s="65">
        <f t="shared" si="31"/>
      </c>
      <c r="BO25" s="65">
        <f t="shared" si="31"/>
      </c>
      <c r="BP25" s="65" t="str">
        <f t="shared" si="31"/>
        <v>  |</v>
      </c>
      <c r="BT25" s="68"/>
      <c r="BU25" s="60"/>
      <c r="BV25" s="60"/>
      <c r="BW25" s="28"/>
      <c r="BX25" s="26"/>
      <c r="BY25" s="73" t="str">
        <f t="shared" si="2"/>
        <v>----</v>
      </c>
      <c r="BZ25" s="73" t="s">
        <v>258</v>
      </c>
      <c r="CA25" s="73" t="str">
        <f t="shared" si="3"/>
        <v>----</v>
      </c>
      <c r="CB25" s="73" t="s">
        <v>258</v>
      </c>
      <c r="CC25" s="73" t="str">
        <f t="shared" si="4"/>
        <v>----</v>
      </c>
      <c r="CD25" s="26"/>
      <c r="CE25" s="60"/>
      <c r="CF25" s="26"/>
      <c r="CG25" s="60"/>
      <c r="CH25" s="27"/>
      <c r="CI25" s="1"/>
      <c r="CJ25" s="1"/>
      <c r="CL25" s="229" t="s">
        <v>431</v>
      </c>
      <c r="CM25" s="60"/>
      <c r="CN25" s="60"/>
      <c r="CO25" s="198">
        <f>+R161*R158/100</f>
        <v>3.1089</v>
      </c>
      <c r="CP25" s="271">
        <f>+R56-R77-R79</f>
        <v>-64.64200000000015</v>
      </c>
      <c r="CQ25" s="179">
        <f t="shared" si="21"/>
        <v>-0.11000169694149635</v>
      </c>
      <c r="CR25" s="271">
        <f>+S56-S77-S79</f>
        <v>2714.5729999999994</v>
      </c>
      <c r="CS25" s="179">
        <f t="shared" si="22"/>
        <v>3.712738213381855</v>
      </c>
      <c r="CT25" s="271">
        <f>+T56-T77-T79</f>
        <v>-1156.9579999999999</v>
      </c>
      <c r="CU25" s="230">
        <f t="shared" si="23"/>
        <v>-1.1536260625972246</v>
      </c>
      <c r="CV25" s="190" t="s">
        <v>231</v>
      </c>
      <c r="CX25" s="85" t="s">
        <v>547</v>
      </c>
      <c r="CY25" s="60"/>
      <c r="CZ25" s="60"/>
      <c r="DA25" s="60"/>
      <c r="DB25" s="271">
        <f>+(R22+R23+R24+R26)-(R85-R91+R37+R38+R39)</f>
        <v>42560.492</v>
      </c>
      <c r="DC25" s="185">
        <f>-DB25/ABS(DB25)*100</f>
        <v>-100</v>
      </c>
      <c r="DD25" s="271">
        <f>+(S22+S23+S24+S26)-(S85-S91+S37+S38+S39)</f>
        <v>38611.304000000004</v>
      </c>
      <c r="DE25" s="185">
        <f>-DD25/ABS(DD25)*100</f>
        <v>-100</v>
      </c>
      <c r="DF25" s="271">
        <f>+(T22+T23+T24+T26)-(T85-T91+T37+T38+T39)</f>
        <v>34614.44700000001</v>
      </c>
      <c r="DG25" s="263">
        <f>-DF25/ABS(DF25)*100</f>
        <v>-100</v>
      </c>
      <c r="DH25" s="58" t="s">
        <v>231</v>
      </c>
      <c r="DJ25" s="369" t="s">
        <v>598</v>
      </c>
      <c r="DK25" s="461" t="s">
        <v>599</v>
      </c>
      <c r="DL25" s="369" t="s">
        <v>564</v>
      </c>
      <c r="DM25" s="369" t="s">
        <v>565</v>
      </c>
      <c r="DN25" s="369" t="s">
        <v>566</v>
      </c>
      <c r="DO25" s="462" t="s">
        <v>567</v>
      </c>
      <c r="DQ25" s="58" t="s">
        <v>231</v>
      </c>
    </row>
    <row r="26" spans="3:121" ht="19.5" customHeight="1" thickBot="1">
      <c r="C26" s="137" t="s">
        <v>244</v>
      </c>
      <c r="D26" s="445" t="s">
        <v>373</v>
      </c>
      <c r="E26" s="66" t="s">
        <v>2278</v>
      </c>
      <c r="F26" s="405">
        <v>6680626</v>
      </c>
      <c r="G26" s="378">
        <v>5065979</v>
      </c>
      <c r="H26" s="406">
        <v>5573856</v>
      </c>
      <c r="I26" s="119" t="s">
        <v>231</v>
      </c>
      <c r="J26" s="33">
        <f t="shared" si="17"/>
        <v>6680.626</v>
      </c>
      <c r="K26" s="33">
        <f t="shared" si="18"/>
        <v>5065.979</v>
      </c>
      <c r="L26" s="33">
        <f t="shared" si="19"/>
        <v>5573.856</v>
      </c>
      <c r="M26" s="58" t="s">
        <v>231</v>
      </c>
      <c r="N26" s="55" t="s">
        <v>1</v>
      </c>
      <c r="O26" s="55" t="s">
        <v>379</v>
      </c>
      <c r="Q26" s="55" t="s">
        <v>39</v>
      </c>
      <c r="R26" s="2">
        <f>J32</f>
        <v>0</v>
      </c>
      <c r="S26" s="2">
        <f>K32</f>
        <v>1469.821</v>
      </c>
      <c r="T26" s="2">
        <f>L32</f>
        <v>1197.137</v>
      </c>
      <c r="U26" s="55" t="s">
        <v>1</v>
      </c>
      <c r="V26" s="7"/>
      <c r="X26" s="62" t="s">
        <v>37</v>
      </c>
      <c r="Z26" s="55" t="s">
        <v>273</v>
      </c>
      <c r="AB26" s="65" t="str">
        <f aca="true" t="shared" si="32" ref="AB26:BP26">+AB111</f>
        <v>  |</v>
      </c>
      <c r="AC26" s="65">
        <f t="shared" si="32"/>
      </c>
      <c r="AD26" s="65">
        <f t="shared" si="32"/>
      </c>
      <c r="AE26" s="65">
        <f t="shared" si="32"/>
      </c>
      <c r="AF26" s="65">
        <f t="shared" si="32"/>
      </c>
      <c r="AG26" s="65">
        <f t="shared" si="32"/>
      </c>
      <c r="AH26" s="65">
        <f t="shared" si="32"/>
      </c>
      <c r="AI26" s="65">
        <f t="shared" si="32"/>
      </c>
      <c r="AJ26" s="65">
        <f t="shared" si="32"/>
      </c>
      <c r="AK26" s="65">
        <f t="shared" si="32"/>
      </c>
      <c r="AL26" s="65">
        <f t="shared" si="32"/>
      </c>
      <c r="AM26" s="65">
        <f t="shared" si="32"/>
      </c>
      <c r="AN26" s="65">
        <f t="shared" si="32"/>
      </c>
      <c r="AO26" s="65">
        <f t="shared" si="32"/>
      </c>
      <c r="AP26" s="65">
        <f t="shared" si="32"/>
      </c>
      <c r="AQ26" s="65">
        <f t="shared" si="32"/>
      </c>
      <c r="AR26" s="65">
        <f t="shared" si="32"/>
      </c>
      <c r="AS26" s="65">
        <f t="shared" si="32"/>
      </c>
      <c r="AT26" s="65">
        <f t="shared" si="32"/>
      </c>
      <c r="AU26" s="65">
        <f t="shared" si="32"/>
      </c>
      <c r="AV26" s="65" t="str">
        <f t="shared" si="32"/>
        <v>  |</v>
      </c>
      <c r="AW26" s="65">
        <f t="shared" si="32"/>
      </c>
      <c r="AX26" s="65">
        <f t="shared" si="32"/>
      </c>
      <c r="AY26" s="65">
        <f t="shared" si="32"/>
      </c>
      <c r="AZ26" s="65">
        <f t="shared" si="32"/>
      </c>
      <c r="BA26" s="65">
        <f t="shared" si="32"/>
      </c>
      <c r="BB26" s="65">
        <f t="shared" si="32"/>
      </c>
      <c r="BC26" s="65">
        <f t="shared" si="32"/>
      </c>
      <c r="BD26" s="65">
        <f t="shared" si="32"/>
      </c>
      <c r="BE26" s="65">
        <f t="shared" si="32"/>
      </c>
      <c r="BF26" s="65">
        <f t="shared" si="32"/>
      </c>
      <c r="BG26" s="65">
        <f t="shared" si="32"/>
      </c>
      <c r="BH26" s="65">
        <f t="shared" si="32"/>
      </c>
      <c r="BI26" s="65">
        <f t="shared" si="32"/>
      </c>
      <c r="BJ26" s="65">
        <f t="shared" si="32"/>
      </c>
      <c r="BK26" s="65">
        <f t="shared" si="32"/>
      </c>
      <c r="BL26" s="65">
        <f t="shared" si="32"/>
      </c>
      <c r="BM26" s="65">
        <f t="shared" si="32"/>
      </c>
      <c r="BN26" s="65">
        <f t="shared" si="32"/>
      </c>
      <c r="BO26" s="65">
        <f t="shared" si="32"/>
      </c>
      <c r="BP26" s="65" t="str">
        <f t="shared" si="32"/>
        <v>  |</v>
      </c>
      <c r="BQ26" s="7"/>
      <c r="BT26" s="68"/>
      <c r="BU26" s="60" t="s">
        <v>17</v>
      </c>
      <c r="BV26" s="60"/>
      <c r="BW26" s="28" t="s">
        <v>61</v>
      </c>
      <c r="BX26" s="26"/>
      <c r="BY26" s="73" t="str">
        <f t="shared" si="2"/>
        <v>----</v>
      </c>
      <c r="BZ26" s="73" t="s">
        <v>258</v>
      </c>
      <c r="CA26" s="73" t="str">
        <f t="shared" si="3"/>
        <v>----</v>
      </c>
      <c r="CB26" s="73" t="s">
        <v>258</v>
      </c>
      <c r="CC26" s="73" t="str">
        <f t="shared" si="4"/>
        <v>----</v>
      </c>
      <c r="CD26" s="26"/>
      <c r="CE26" s="60"/>
      <c r="CF26" s="26"/>
      <c r="CG26" s="60"/>
      <c r="CH26" s="27"/>
      <c r="CI26" s="1"/>
      <c r="CJ26" s="1"/>
      <c r="CL26" s="229" t="s">
        <v>439</v>
      </c>
      <c r="CM26" s="60"/>
      <c r="CN26" s="60"/>
      <c r="CO26" s="198">
        <f>+CO23-CO24-CO25-CO27</f>
        <v>1.1585000000000027</v>
      </c>
      <c r="CP26" s="272">
        <f>+R57-R78</f>
        <v>2074.55</v>
      </c>
      <c r="CQ26" s="179">
        <f t="shared" si="21"/>
        <v>3.5302747500074374</v>
      </c>
      <c r="CR26" s="272">
        <f>+S57-S78</f>
        <v>1450.918</v>
      </c>
      <c r="CS26" s="179">
        <f t="shared" si="22"/>
        <v>1.9844294859941418</v>
      </c>
      <c r="CT26" s="272">
        <f>+T57-T78</f>
        <v>1188.428</v>
      </c>
      <c r="CU26" s="230">
        <f t="shared" si="23"/>
        <v>1.1850054317618226</v>
      </c>
      <c r="CV26" s="190" t="s">
        <v>231</v>
      </c>
      <c r="CX26" s="90" t="s">
        <v>548</v>
      </c>
      <c r="CY26" s="91"/>
      <c r="CZ26" s="91"/>
      <c r="DA26" s="91"/>
      <c r="DB26" s="279">
        <f>+(R91+R86)-(R82+R83)</f>
        <v>84.73000000000047</v>
      </c>
      <c r="DC26" s="264">
        <f>-DB26/ABS(DB25)*100</f>
        <v>-0.19908134520625487</v>
      </c>
      <c r="DD26" s="279">
        <f>+(S91+S86)-(S82+S83)</f>
        <v>-4043.055</v>
      </c>
      <c r="DE26" s="264">
        <f>-DD26/ABS(DD25)*100</f>
        <v>10.471169272086742</v>
      </c>
      <c r="DF26" s="279">
        <f>+(T91+T86)-(T82+T83)</f>
        <v>-9775.888</v>
      </c>
      <c r="DG26" s="265">
        <f>-DF26/ABS(DF25)*100</f>
        <v>28.242219209799877</v>
      </c>
      <c r="DH26" s="58" t="s">
        <v>231</v>
      </c>
      <c r="DJ26" s="369" t="s">
        <v>600</v>
      </c>
      <c r="DK26" s="461" t="s">
        <v>601</v>
      </c>
      <c r="DL26" s="369" t="s">
        <v>564</v>
      </c>
      <c r="DM26" s="369" t="s">
        <v>565</v>
      </c>
      <c r="DN26" s="369" t="s">
        <v>566</v>
      </c>
      <c r="DO26" s="462" t="s">
        <v>567</v>
      </c>
      <c r="DQ26" s="58" t="s">
        <v>231</v>
      </c>
    </row>
    <row r="27" spans="2:121" ht="19.5" customHeight="1" thickBot="1">
      <c r="B27" s="99" t="s">
        <v>2342</v>
      </c>
      <c r="D27" s="140" t="s">
        <v>23</v>
      </c>
      <c r="F27" s="405">
        <v>0</v>
      </c>
      <c r="G27" s="378">
        <v>0</v>
      </c>
      <c r="H27" s="406">
        <v>0</v>
      </c>
      <c r="I27" s="119" t="s">
        <v>231</v>
      </c>
      <c r="J27" s="33">
        <f t="shared" si="17"/>
        <v>0</v>
      </c>
      <c r="K27" s="33">
        <f t="shared" si="18"/>
        <v>0</v>
      </c>
      <c r="L27" s="33">
        <f t="shared" si="19"/>
        <v>0</v>
      </c>
      <c r="M27" s="58" t="s">
        <v>231</v>
      </c>
      <c r="N27" s="55" t="s">
        <v>1</v>
      </c>
      <c r="U27" s="55" t="s">
        <v>1</v>
      </c>
      <c r="V27" s="7"/>
      <c r="X27" s="62" t="s">
        <v>68</v>
      </c>
      <c r="AB27" s="65" t="str">
        <f aca="true" t="shared" si="33" ref="AB27:BP27">+AB112</f>
        <v>  |</v>
      </c>
      <c r="AC27" s="65">
        <f t="shared" si="33"/>
      </c>
      <c r="AD27" s="65">
        <f t="shared" si="33"/>
      </c>
      <c r="AE27" s="65">
        <f t="shared" si="33"/>
      </c>
      <c r="AF27" s="65">
        <f t="shared" si="33"/>
      </c>
      <c r="AG27" s="65">
        <f t="shared" si="33"/>
      </c>
      <c r="AH27" s="65">
        <f t="shared" si="33"/>
      </c>
      <c r="AI27" s="65">
        <f t="shared" si="33"/>
      </c>
      <c r="AJ27" s="65">
        <f t="shared" si="33"/>
      </c>
      <c r="AK27" s="65">
        <f t="shared" si="33"/>
      </c>
      <c r="AL27" s="65">
        <f t="shared" si="33"/>
      </c>
      <c r="AM27" s="65">
        <f t="shared" si="33"/>
      </c>
      <c r="AN27" s="65">
        <f t="shared" si="33"/>
      </c>
      <c r="AO27" s="65">
        <f t="shared" si="33"/>
      </c>
      <c r="AP27" s="65">
        <f t="shared" si="33"/>
      </c>
      <c r="AQ27" s="65">
        <f t="shared" si="33"/>
      </c>
      <c r="AR27" s="65">
        <f t="shared" si="33"/>
      </c>
      <c r="AS27" s="65">
        <f t="shared" si="33"/>
      </c>
      <c r="AT27" s="65">
        <f t="shared" si="33"/>
      </c>
      <c r="AU27" s="65">
        <f t="shared" si="33"/>
      </c>
      <c r="AV27" s="65" t="str">
        <f t="shared" si="33"/>
        <v>  |</v>
      </c>
      <c r="AW27" s="65">
        <f t="shared" si="33"/>
      </c>
      <c r="AX27" s="65">
        <f t="shared" si="33"/>
      </c>
      <c r="AY27" s="65">
        <f t="shared" si="33"/>
      </c>
      <c r="AZ27" s="65">
        <f t="shared" si="33"/>
      </c>
      <c r="BA27" s="65">
        <f t="shared" si="33"/>
      </c>
      <c r="BB27" s="65">
        <f t="shared" si="33"/>
      </c>
      <c r="BC27" s="65">
        <f t="shared" si="33"/>
      </c>
      <c r="BD27" s="65">
        <f t="shared" si="33"/>
      </c>
      <c r="BE27" s="65">
        <f t="shared" si="33"/>
      </c>
      <c r="BF27" s="65">
        <f t="shared" si="33"/>
      </c>
      <c r="BG27" s="65">
        <f t="shared" si="33"/>
      </c>
      <c r="BH27" s="65">
        <f t="shared" si="33"/>
      </c>
      <c r="BI27" s="65">
        <f t="shared" si="33"/>
      </c>
      <c r="BJ27" s="65">
        <f t="shared" si="33"/>
      </c>
      <c r="BK27" s="65">
        <f t="shared" si="33"/>
      </c>
      <c r="BL27" s="65">
        <f t="shared" si="33"/>
      </c>
      <c r="BM27" s="65">
        <f t="shared" si="33"/>
      </c>
      <c r="BN27" s="65">
        <f t="shared" si="33"/>
      </c>
      <c r="BO27" s="65">
        <f t="shared" si="33"/>
      </c>
      <c r="BP27" s="65" t="str">
        <f t="shared" si="33"/>
        <v>  |</v>
      </c>
      <c r="BQ27" s="7"/>
      <c r="BT27" s="68"/>
      <c r="BU27" s="26"/>
      <c r="BV27" s="60"/>
      <c r="BW27" s="28"/>
      <c r="BX27" s="26"/>
      <c r="BY27" s="73" t="str">
        <f t="shared" si="2"/>
        <v>----</v>
      </c>
      <c r="BZ27" s="73" t="s">
        <v>258</v>
      </c>
      <c r="CA27" s="73" t="str">
        <f t="shared" si="3"/>
        <v>----</v>
      </c>
      <c r="CB27" s="73" t="s">
        <v>258</v>
      </c>
      <c r="CC27" s="73" t="str">
        <f t="shared" si="4"/>
        <v>----</v>
      </c>
      <c r="CD27" s="26"/>
      <c r="CE27" s="60"/>
      <c r="CF27" s="26"/>
      <c r="CG27" s="60"/>
      <c r="CH27" s="27"/>
      <c r="CI27" s="1"/>
      <c r="CJ27" s="1"/>
      <c r="CL27" s="232" t="s">
        <v>452</v>
      </c>
      <c r="CM27" s="60"/>
      <c r="CN27" s="60"/>
      <c r="CO27" s="198">
        <f>+R157</f>
        <v>3.3</v>
      </c>
      <c r="CP27" s="270">
        <f>+CP23-CP24-CP25-CP26</f>
        <v>-10293.580000000009</v>
      </c>
      <c r="CQ27" s="179">
        <f t="shared" si="21"/>
        <v>-17.51664966435207</v>
      </c>
      <c r="CR27" s="270">
        <f>+CR23-CR24-CR25-CR26</f>
        <v>2459.3209999999954</v>
      </c>
      <c r="CS27" s="179">
        <f t="shared" si="22"/>
        <v>3.3636284806753998</v>
      </c>
      <c r="CT27" s="270">
        <f>+CT23-CT24-CT25-CT26</f>
        <v>6875.585000000004</v>
      </c>
      <c r="CU27" s="230">
        <f t="shared" si="23"/>
        <v>6.855783919211021</v>
      </c>
      <c r="CV27" s="190" t="s">
        <v>231</v>
      </c>
      <c r="DJ27" s="369" t="s">
        <v>602</v>
      </c>
      <c r="DK27" s="461" t="s">
        <v>603</v>
      </c>
      <c r="DL27" s="369" t="s">
        <v>564</v>
      </c>
      <c r="DM27" s="369" t="s">
        <v>565</v>
      </c>
      <c r="DN27" s="369" t="s">
        <v>566</v>
      </c>
      <c r="DO27" s="462" t="s">
        <v>567</v>
      </c>
      <c r="DQ27" s="58" t="s">
        <v>231</v>
      </c>
    </row>
    <row r="28" spans="2:121" ht="19.5" customHeight="1">
      <c r="B28" s="65" t="s">
        <v>81</v>
      </c>
      <c r="C28" s="137"/>
      <c r="D28" s="140" t="s">
        <v>26</v>
      </c>
      <c r="F28" s="405">
        <v>12900625</v>
      </c>
      <c r="G28" s="378">
        <v>16346923</v>
      </c>
      <c r="H28" s="406">
        <v>20695164</v>
      </c>
      <c r="I28" s="119" t="s">
        <v>231</v>
      </c>
      <c r="J28" s="33">
        <f t="shared" si="17"/>
        <v>12900.625</v>
      </c>
      <c r="K28" s="33">
        <f t="shared" si="18"/>
        <v>16346.923</v>
      </c>
      <c r="L28" s="33">
        <f t="shared" si="19"/>
        <v>20695.164</v>
      </c>
      <c r="M28" s="58" t="s">
        <v>231</v>
      </c>
      <c r="N28" s="55" t="s">
        <v>1</v>
      </c>
      <c r="O28" s="62" t="s">
        <v>403</v>
      </c>
      <c r="Q28" s="55" t="s">
        <v>63</v>
      </c>
      <c r="R28" s="2">
        <f>SUM(R18:R26)</f>
        <v>73141.542</v>
      </c>
      <c r="S28" s="2">
        <f>SUM(S18:S26)</f>
        <v>73026.26099999998</v>
      </c>
      <c r="T28" s="2">
        <f>SUM(T18:T26)</f>
        <v>90727.78900000002</v>
      </c>
      <c r="U28" s="55" t="s">
        <v>1</v>
      </c>
      <c r="V28" s="7"/>
      <c r="X28" s="62" t="s">
        <v>73</v>
      </c>
      <c r="Z28" s="55" t="s">
        <v>274</v>
      </c>
      <c r="AB28" s="65" t="str">
        <f aca="true" t="shared" si="34" ref="AB28:BP28">+AB113</f>
        <v>  |</v>
      </c>
      <c r="AC28" s="65">
        <f t="shared" si="34"/>
      </c>
      <c r="AD28" s="65">
        <f t="shared" si="34"/>
      </c>
      <c r="AE28" s="65">
        <f t="shared" si="34"/>
      </c>
      <c r="AF28" s="65">
        <f t="shared" si="34"/>
      </c>
      <c r="AG28" s="65">
        <f t="shared" si="34"/>
      </c>
      <c r="AH28" s="65">
        <f t="shared" si="34"/>
      </c>
      <c r="AI28" s="65">
        <f t="shared" si="34"/>
      </c>
      <c r="AJ28" s="65">
        <f t="shared" si="34"/>
      </c>
      <c r="AK28" s="65">
        <f t="shared" si="34"/>
      </c>
      <c r="AL28" s="65">
        <f t="shared" si="34"/>
      </c>
      <c r="AM28" s="65">
        <f t="shared" si="34"/>
      </c>
      <c r="AN28" s="65">
        <f t="shared" si="34"/>
      </c>
      <c r="AO28" s="65">
        <f t="shared" si="34"/>
      </c>
      <c r="AP28" s="65">
        <f t="shared" si="34"/>
      </c>
      <c r="AQ28" s="65">
        <f t="shared" si="34"/>
      </c>
      <c r="AR28" s="65">
        <f t="shared" si="34"/>
      </c>
      <c r="AS28" s="65">
        <f t="shared" si="34"/>
      </c>
      <c r="AT28" s="65">
        <f t="shared" si="34"/>
      </c>
      <c r="AU28" s="65">
        <f t="shared" si="34"/>
      </c>
      <c r="AV28" s="65" t="str">
        <f t="shared" si="34"/>
        <v>  |</v>
      </c>
      <c r="AW28" s="65">
        <f t="shared" si="34"/>
      </c>
      <c r="AX28" s="65">
        <f t="shared" si="34"/>
      </c>
      <c r="AY28" s="65">
        <f t="shared" si="34"/>
      </c>
      <c r="AZ28" s="65">
        <f t="shared" si="34"/>
      </c>
      <c r="BA28" s="65">
        <f t="shared" si="34"/>
      </c>
      <c r="BB28" s="65">
        <f t="shared" si="34"/>
      </c>
      <c r="BC28" s="65">
        <f t="shared" si="34"/>
      </c>
      <c r="BD28" s="65">
        <f t="shared" si="34"/>
      </c>
      <c r="BE28" s="65">
        <f t="shared" si="34"/>
      </c>
      <c r="BF28" s="65">
        <f t="shared" si="34"/>
      </c>
      <c r="BG28" s="65">
        <f t="shared" si="34"/>
      </c>
      <c r="BH28" s="65">
        <f t="shared" si="34"/>
      </c>
      <c r="BI28" s="65">
        <f t="shared" si="34"/>
      </c>
      <c r="BJ28" s="65">
        <f t="shared" si="34"/>
      </c>
      <c r="BK28" s="65">
        <f t="shared" si="34"/>
      </c>
      <c r="BL28" s="65">
        <f t="shared" si="34"/>
      </c>
      <c r="BM28" s="65">
        <f t="shared" si="34"/>
      </c>
      <c r="BN28" s="65">
        <f t="shared" si="34"/>
      </c>
      <c r="BO28" s="65">
        <f t="shared" si="34"/>
      </c>
      <c r="BP28" s="65" t="str">
        <f t="shared" si="34"/>
        <v>  |</v>
      </c>
      <c r="BQ28" s="7"/>
      <c r="BT28" s="68"/>
      <c r="BU28" s="26" t="s">
        <v>36</v>
      </c>
      <c r="BV28" s="60"/>
      <c r="BW28" s="28" t="s">
        <v>65</v>
      </c>
      <c r="BX28" s="26"/>
      <c r="BY28" s="73" t="str">
        <f t="shared" si="2"/>
        <v>----</v>
      </c>
      <c r="BZ28" s="73" t="s">
        <v>258</v>
      </c>
      <c r="CA28" s="73" t="str">
        <f t="shared" si="3"/>
        <v>----</v>
      </c>
      <c r="CB28" s="73" t="s">
        <v>258</v>
      </c>
      <c r="CC28" s="73" t="str">
        <f t="shared" si="4"/>
        <v>----</v>
      </c>
      <c r="CD28" s="26"/>
      <c r="CE28" s="60"/>
      <c r="CF28" s="26" t="s">
        <v>66</v>
      </c>
      <c r="CG28" s="60"/>
      <c r="CH28" s="27"/>
      <c r="CI28" s="1"/>
      <c r="CJ28" s="1"/>
      <c r="CL28" s="229" t="s">
        <v>434</v>
      </c>
      <c r="CM28" s="60"/>
      <c r="CN28" s="60"/>
      <c r="CO28" s="198"/>
      <c r="CP28" s="271">
        <f>+R59-R79-R80-R89+R90</f>
        <v>-211.73899999999998</v>
      </c>
      <c r="CQ28" s="179">
        <f t="shared" si="21"/>
        <v>-0.36031758467707437</v>
      </c>
      <c r="CR28" s="271">
        <f>+S59-S79-S80-S89+S90</f>
        <v>284.975</v>
      </c>
      <c r="CS28" s="179">
        <f t="shared" si="22"/>
        <v>0.38976206289478843</v>
      </c>
      <c r="CT28" s="271">
        <f>+T59-T79-T80-T89+T90</f>
        <v>74.49900000000002</v>
      </c>
      <c r="CU28" s="230">
        <f t="shared" si="23"/>
        <v>0.0742844494246383</v>
      </c>
      <c r="CV28" s="190" t="s">
        <v>231</v>
      </c>
      <c r="CX28" s="244" t="s">
        <v>473</v>
      </c>
      <c r="CY28" s="83"/>
      <c r="CZ28" s="83"/>
      <c r="DA28" s="226" t="s">
        <v>440</v>
      </c>
      <c r="DB28" s="205">
        <f>+$R$7</f>
        <v>2020</v>
      </c>
      <c r="DC28" s="206"/>
      <c r="DD28" s="205">
        <f>+$S$7</f>
        <v>2021</v>
      </c>
      <c r="DE28" s="206"/>
      <c r="DF28" s="220">
        <f>+$T$7</f>
        <v>2022</v>
      </c>
      <c r="DG28" s="84"/>
      <c r="DH28" s="58" t="s">
        <v>231</v>
      </c>
      <c r="DJ28" s="369" t="s">
        <v>604</v>
      </c>
      <c r="DK28" s="461" t="s">
        <v>605</v>
      </c>
      <c r="DL28" s="369" t="s">
        <v>564</v>
      </c>
      <c r="DM28" s="369" t="s">
        <v>565</v>
      </c>
      <c r="DN28" s="369" t="s">
        <v>566</v>
      </c>
      <c r="DO28" s="462" t="s">
        <v>567</v>
      </c>
      <c r="DQ28" s="58" t="s">
        <v>231</v>
      </c>
    </row>
    <row r="29" spans="2:121" ht="19.5" customHeight="1">
      <c r="B29" s="65" t="s">
        <v>245</v>
      </c>
      <c r="C29" s="137"/>
      <c r="D29" s="140" t="s">
        <v>30</v>
      </c>
      <c r="F29" s="405">
        <v>2130820</v>
      </c>
      <c r="G29" s="378">
        <v>10238957</v>
      </c>
      <c r="H29" s="406">
        <v>2257323</v>
      </c>
      <c r="I29" s="119" t="s">
        <v>231</v>
      </c>
      <c r="J29" s="33">
        <f t="shared" si="17"/>
        <v>2130.82</v>
      </c>
      <c r="K29" s="33">
        <f t="shared" si="18"/>
        <v>10238.957</v>
      </c>
      <c r="L29" s="33">
        <f t="shared" si="19"/>
        <v>2257.323</v>
      </c>
      <c r="M29" s="58" t="s">
        <v>231</v>
      </c>
      <c r="N29" s="55" t="s">
        <v>1</v>
      </c>
      <c r="U29" s="55" t="s">
        <v>1</v>
      </c>
      <c r="V29" s="7"/>
      <c r="W29" s="7"/>
      <c r="AB29" s="65" t="str">
        <f aca="true" t="shared" si="35" ref="AB29:BP29">+AB114</f>
        <v>  |</v>
      </c>
      <c r="AC29" s="65">
        <f t="shared" si="35"/>
      </c>
      <c r="AD29" s="65">
        <f t="shared" si="35"/>
      </c>
      <c r="AE29" s="65">
        <f t="shared" si="35"/>
      </c>
      <c r="AF29" s="65">
        <f t="shared" si="35"/>
      </c>
      <c r="AG29" s="65">
        <f t="shared" si="35"/>
      </c>
      <c r="AH29" s="65">
        <f t="shared" si="35"/>
      </c>
      <c r="AI29" s="65">
        <f t="shared" si="35"/>
      </c>
      <c r="AJ29" s="65">
        <f t="shared" si="35"/>
      </c>
      <c r="AK29" s="65">
        <f t="shared" si="35"/>
      </c>
      <c r="AL29" s="65">
        <f t="shared" si="35"/>
      </c>
      <c r="AM29" s="65">
        <f t="shared" si="35"/>
      </c>
      <c r="AN29" s="65">
        <f t="shared" si="35"/>
      </c>
      <c r="AO29" s="65">
        <f t="shared" si="35"/>
      </c>
      <c r="AP29" s="65">
        <f t="shared" si="35"/>
      </c>
      <c r="AQ29" s="65">
        <f t="shared" si="35"/>
      </c>
      <c r="AR29" s="65">
        <f t="shared" si="35"/>
      </c>
      <c r="AS29" s="65">
        <f t="shared" si="35"/>
      </c>
      <c r="AT29" s="65">
        <f t="shared" si="35"/>
      </c>
      <c r="AU29" s="65">
        <f t="shared" si="35"/>
      </c>
      <c r="AV29" s="65" t="str">
        <f t="shared" si="35"/>
        <v>  |</v>
      </c>
      <c r="AW29" s="65">
        <f t="shared" si="35"/>
      </c>
      <c r="AX29" s="65">
        <f t="shared" si="35"/>
      </c>
      <c r="AY29" s="65">
        <f t="shared" si="35"/>
      </c>
      <c r="AZ29" s="65">
        <f t="shared" si="35"/>
      </c>
      <c r="BA29" s="65">
        <f t="shared" si="35"/>
      </c>
      <c r="BB29" s="65">
        <f t="shared" si="35"/>
      </c>
      <c r="BC29" s="65">
        <f t="shared" si="35"/>
      </c>
      <c r="BD29" s="65">
        <f t="shared" si="35"/>
      </c>
      <c r="BE29" s="65">
        <f t="shared" si="35"/>
      </c>
      <c r="BF29" s="65">
        <f t="shared" si="35"/>
      </c>
      <c r="BG29" s="65">
        <f t="shared" si="35"/>
      </c>
      <c r="BH29" s="65">
        <f t="shared" si="35"/>
      </c>
      <c r="BI29" s="65">
        <f t="shared" si="35"/>
      </c>
      <c r="BJ29" s="65">
        <f t="shared" si="35"/>
      </c>
      <c r="BK29" s="65">
        <f t="shared" si="35"/>
      </c>
      <c r="BL29" s="65">
        <f t="shared" si="35"/>
      </c>
      <c r="BM29" s="65">
        <f t="shared" si="35"/>
      </c>
      <c r="BN29" s="65">
        <f t="shared" si="35"/>
      </c>
      <c r="BO29" s="65">
        <f t="shared" si="35"/>
      </c>
      <c r="BP29" s="65" t="str">
        <f t="shared" si="35"/>
        <v>  |</v>
      </c>
      <c r="BQ29" s="7"/>
      <c r="BT29" s="68"/>
      <c r="BU29" s="60"/>
      <c r="BV29" s="60"/>
      <c r="BW29" s="28"/>
      <c r="BX29" s="26"/>
      <c r="BY29" s="73" t="str">
        <f t="shared" si="2"/>
        <v>----</v>
      </c>
      <c r="BZ29" s="73" t="s">
        <v>258</v>
      </c>
      <c r="CA29" s="73" t="str">
        <f t="shared" si="3"/>
        <v>----</v>
      </c>
      <c r="CB29" s="73" t="s">
        <v>258</v>
      </c>
      <c r="CC29" s="73" t="str">
        <f t="shared" si="4"/>
        <v>----</v>
      </c>
      <c r="CD29" s="26"/>
      <c r="CE29" s="26"/>
      <c r="CF29" s="26"/>
      <c r="CG29" s="60"/>
      <c r="CH29" s="27"/>
      <c r="CI29" s="1"/>
      <c r="CJ29" s="1"/>
      <c r="CL29" s="229" t="s">
        <v>435</v>
      </c>
      <c r="CM29" s="60"/>
      <c r="CN29" s="60"/>
      <c r="CO29" s="198"/>
      <c r="CP29" s="271">
        <f>+R62-R63-R65+R75</f>
        <v>989.835</v>
      </c>
      <c r="CQ29" s="179">
        <f t="shared" si="21"/>
        <v>1.6844084293816064</v>
      </c>
      <c r="CR29" s="271">
        <f>+S62-S63-S65+S75</f>
        <v>2.0470000000000006</v>
      </c>
      <c r="CS29" s="179">
        <f t="shared" si="22"/>
        <v>0.0027996945091521433</v>
      </c>
      <c r="CT29" s="271">
        <f>+T62-T63-T65+T75</f>
        <v>-33.29399999999987</v>
      </c>
      <c r="CU29" s="230">
        <f t="shared" si="23"/>
        <v>-0.03319811620483358</v>
      </c>
      <c r="CV29" s="190" t="s">
        <v>231</v>
      </c>
      <c r="CX29" s="85" t="s">
        <v>485</v>
      </c>
      <c r="CY29" s="60"/>
      <c r="CZ29" s="60"/>
      <c r="DA29" s="196"/>
      <c r="DB29" s="156">
        <f>+J80</f>
        <v>202.1</v>
      </c>
      <c r="DC29" s="182" t="s">
        <v>479</v>
      </c>
      <c r="DD29" s="156">
        <f>+K80</f>
        <v>182.9</v>
      </c>
      <c r="DE29" s="182" t="s">
        <v>479</v>
      </c>
      <c r="DF29" s="154">
        <f>+L80</f>
        <v>169.9</v>
      </c>
      <c r="DG29" s="245" t="s">
        <v>479</v>
      </c>
      <c r="DH29" s="58" t="s">
        <v>231</v>
      </c>
      <c r="DJ29" s="369" t="s">
        <v>606</v>
      </c>
      <c r="DK29" s="461" t="s">
        <v>607</v>
      </c>
      <c r="DL29" s="369" t="s">
        <v>564</v>
      </c>
      <c r="DM29" s="369" t="s">
        <v>565</v>
      </c>
      <c r="DN29" s="369" t="s">
        <v>566</v>
      </c>
      <c r="DO29" s="462" t="s">
        <v>567</v>
      </c>
      <c r="DQ29" s="58" t="s">
        <v>231</v>
      </c>
    </row>
    <row r="30" spans="2:121" ht="19.5" customHeight="1">
      <c r="B30" s="65" t="s">
        <v>2343</v>
      </c>
      <c r="D30" s="140" t="s">
        <v>34</v>
      </c>
      <c r="F30" s="405">
        <v>563266</v>
      </c>
      <c r="G30" s="378">
        <v>1006799</v>
      </c>
      <c r="H30" s="406">
        <v>2404</v>
      </c>
      <c r="I30" s="119" t="s">
        <v>231</v>
      </c>
      <c r="J30" s="33">
        <f t="shared" si="17"/>
        <v>563.266</v>
      </c>
      <c r="K30" s="33">
        <f t="shared" si="18"/>
        <v>1006.799</v>
      </c>
      <c r="L30" s="33">
        <f t="shared" si="19"/>
        <v>2.404</v>
      </c>
      <c r="M30" s="58" t="s">
        <v>231</v>
      </c>
      <c r="N30" s="55" t="s">
        <v>1</v>
      </c>
      <c r="O30" s="55" t="s">
        <v>2373</v>
      </c>
      <c r="Q30" s="72" t="s">
        <v>2374</v>
      </c>
      <c r="R30" s="2">
        <f>J35</f>
        <v>1388.204</v>
      </c>
      <c r="S30" s="2">
        <f>K35</f>
        <v>1388.204</v>
      </c>
      <c r="T30" s="2">
        <f>L35</f>
        <v>1388.204</v>
      </c>
      <c r="U30" s="55" t="s">
        <v>1</v>
      </c>
      <c r="V30" s="7"/>
      <c r="Z30" s="55" t="s">
        <v>275</v>
      </c>
      <c r="AB30" s="65" t="str">
        <f aca="true" t="shared" si="36" ref="AB30:BP30">+AB115</f>
        <v>  |</v>
      </c>
      <c r="AC30" s="65">
        <f t="shared" si="36"/>
      </c>
      <c r="AD30" s="65">
        <f t="shared" si="36"/>
      </c>
      <c r="AE30" s="65">
        <f t="shared" si="36"/>
      </c>
      <c r="AF30" s="65">
        <f t="shared" si="36"/>
      </c>
      <c r="AG30" s="65">
        <f t="shared" si="36"/>
      </c>
      <c r="AH30" s="65">
        <f t="shared" si="36"/>
      </c>
      <c r="AI30" s="65">
        <f t="shared" si="36"/>
      </c>
      <c r="AJ30" s="65">
        <f t="shared" si="36"/>
      </c>
      <c r="AK30" s="65">
        <f t="shared" si="36"/>
      </c>
      <c r="AL30" s="65">
        <f t="shared" si="36"/>
      </c>
      <c r="AM30" s="65">
        <f t="shared" si="36"/>
      </c>
      <c r="AN30" s="65">
        <f t="shared" si="36"/>
      </c>
      <c r="AO30" s="65">
        <f t="shared" si="36"/>
      </c>
      <c r="AP30" s="65">
        <f t="shared" si="36"/>
      </c>
      <c r="AQ30" s="65">
        <f t="shared" si="36"/>
      </c>
      <c r="AR30" s="65">
        <f t="shared" si="36"/>
      </c>
      <c r="AS30" s="65">
        <f t="shared" si="36"/>
      </c>
      <c r="AT30" s="65">
        <f t="shared" si="36"/>
      </c>
      <c r="AU30" s="65">
        <f t="shared" si="36"/>
      </c>
      <c r="AV30" s="65" t="str">
        <f t="shared" si="36"/>
        <v>  |</v>
      </c>
      <c r="AW30" s="65">
        <f t="shared" si="36"/>
      </c>
      <c r="AX30" s="65">
        <f t="shared" si="36"/>
      </c>
      <c r="AY30" s="65">
        <f t="shared" si="36"/>
      </c>
      <c r="AZ30" s="65">
        <f t="shared" si="36"/>
      </c>
      <c r="BA30" s="65">
        <f t="shared" si="36"/>
      </c>
      <c r="BB30" s="65">
        <f t="shared" si="36"/>
      </c>
      <c r="BC30" s="65">
        <f t="shared" si="36"/>
      </c>
      <c r="BD30" s="65">
        <f t="shared" si="36"/>
      </c>
      <c r="BE30" s="65">
        <f t="shared" si="36"/>
      </c>
      <c r="BF30" s="65">
        <f t="shared" si="36"/>
      </c>
      <c r="BG30" s="65">
        <f t="shared" si="36"/>
      </c>
      <c r="BH30" s="65">
        <f t="shared" si="36"/>
      </c>
      <c r="BI30" s="65">
        <f t="shared" si="36"/>
      </c>
      <c r="BJ30" s="65">
        <f t="shared" si="36"/>
      </c>
      <c r="BK30" s="65">
        <f t="shared" si="36"/>
      </c>
      <c r="BL30" s="65">
        <f t="shared" si="36"/>
      </c>
      <c r="BM30" s="65">
        <f t="shared" si="36"/>
      </c>
      <c r="BN30" s="65">
        <f t="shared" si="36"/>
      </c>
      <c r="BO30" s="65">
        <f t="shared" si="36"/>
      </c>
      <c r="BP30" s="65" t="str">
        <f t="shared" si="36"/>
        <v>  |</v>
      </c>
      <c r="BQ30" s="7"/>
      <c r="BT30" s="68"/>
      <c r="BU30" s="41" t="s">
        <v>71</v>
      </c>
      <c r="BV30" s="60"/>
      <c r="BW30" s="76" t="s">
        <v>69</v>
      </c>
      <c r="BX30" s="60"/>
      <c r="BY30" s="73" t="str">
        <f t="shared" si="2"/>
        <v>----</v>
      </c>
      <c r="BZ30" s="73" t="s">
        <v>258</v>
      </c>
      <c r="CA30" s="73" t="str">
        <f t="shared" si="3"/>
        <v>----</v>
      </c>
      <c r="CB30" s="73" t="s">
        <v>258</v>
      </c>
      <c r="CC30" s="73" t="str">
        <f t="shared" si="4"/>
        <v>----</v>
      </c>
      <c r="CD30" s="60"/>
      <c r="CE30" s="60"/>
      <c r="CF30" s="60"/>
      <c r="CG30" s="60"/>
      <c r="CH30" s="69"/>
      <c r="CL30" s="232" t="s">
        <v>492</v>
      </c>
      <c r="CM30" s="60"/>
      <c r="CN30" s="60"/>
      <c r="CO30" s="198"/>
      <c r="CP30" s="270">
        <f>+CP27+CP28+CP29</f>
        <v>-9515.484000000008</v>
      </c>
      <c r="CQ30" s="179">
        <f t="shared" si="21"/>
        <v>-16.192558819647534</v>
      </c>
      <c r="CR30" s="270">
        <f>+CR27+CR28+CR29</f>
        <v>2746.3429999999953</v>
      </c>
      <c r="CS30" s="179">
        <f t="shared" si="22"/>
        <v>3.7561902380793404</v>
      </c>
      <c r="CT30" s="270">
        <f>+CT27+CT28+CT29</f>
        <v>6916.790000000004</v>
      </c>
      <c r="CU30" s="230">
        <f t="shared" si="23"/>
        <v>6.896870252430825</v>
      </c>
      <c r="CV30" s="190" t="s">
        <v>231</v>
      </c>
      <c r="CX30" s="85" t="s">
        <v>497</v>
      </c>
      <c r="CY30" s="60"/>
      <c r="CZ30" s="60"/>
      <c r="DA30" s="197">
        <f>+R159</f>
        <v>100</v>
      </c>
      <c r="DB30" s="199">
        <f>+Q143</f>
        <v>30.04717466600689</v>
      </c>
      <c r="DC30" s="290"/>
      <c r="DD30" s="199">
        <f>+R143</f>
        <v>107.91070530344447</v>
      </c>
      <c r="DE30" s="290"/>
      <c r="DF30" s="294">
        <f>+S143</f>
        <v>130.77812831077108</v>
      </c>
      <c r="DG30" s="259"/>
      <c r="DH30" s="58" t="s">
        <v>231</v>
      </c>
      <c r="DJ30" s="369" t="s">
        <v>608</v>
      </c>
      <c r="DK30" s="461" t="s">
        <v>609</v>
      </c>
      <c r="DL30" s="369" t="s">
        <v>564</v>
      </c>
      <c r="DM30" s="369" t="s">
        <v>565</v>
      </c>
      <c r="DN30" s="369" t="s">
        <v>566</v>
      </c>
      <c r="DO30" s="462" t="s">
        <v>567</v>
      </c>
      <c r="DQ30" s="58" t="s">
        <v>231</v>
      </c>
    </row>
    <row r="31" spans="2:121" ht="19.5" customHeight="1">
      <c r="B31" s="65" t="s">
        <v>223</v>
      </c>
      <c r="D31" s="140" t="s">
        <v>13</v>
      </c>
      <c r="F31" s="405">
        <v>4852004</v>
      </c>
      <c r="G31" s="378">
        <v>3036256</v>
      </c>
      <c r="H31" s="406">
        <v>9773484</v>
      </c>
      <c r="I31" s="119" t="s">
        <v>231</v>
      </c>
      <c r="J31" s="33">
        <f t="shared" si="17"/>
        <v>4852.004</v>
      </c>
      <c r="K31" s="33">
        <f t="shared" si="18"/>
        <v>3036.256</v>
      </c>
      <c r="L31" s="33">
        <f t="shared" si="19"/>
        <v>9773.484</v>
      </c>
      <c r="M31" s="58" t="s">
        <v>231</v>
      </c>
      <c r="N31" s="55" t="s">
        <v>1</v>
      </c>
      <c r="O31" s="55" t="s">
        <v>246</v>
      </c>
      <c r="Q31" s="58" t="s">
        <v>53</v>
      </c>
      <c r="R31" s="2">
        <f>+J36</f>
        <v>749.033</v>
      </c>
      <c r="S31" s="2">
        <f>+K36</f>
        <v>749.033</v>
      </c>
      <c r="T31" s="2">
        <f>+L36</f>
        <v>749.033</v>
      </c>
      <c r="U31" s="55" t="s">
        <v>1</v>
      </c>
      <c r="V31" s="7"/>
      <c r="AB31" s="65" t="str">
        <f aca="true" t="shared" si="37" ref="AB31:BP31">+AB116</f>
        <v>  |</v>
      </c>
      <c r="AC31" s="65">
        <f t="shared" si="37"/>
      </c>
      <c r="AD31" s="65">
        <f t="shared" si="37"/>
      </c>
      <c r="AE31" s="65">
        <f t="shared" si="37"/>
      </c>
      <c r="AF31" s="65">
        <f t="shared" si="37"/>
      </c>
      <c r="AG31" s="65">
        <f t="shared" si="37"/>
      </c>
      <c r="AH31" s="65">
        <f t="shared" si="37"/>
      </c>
      <c r="AI31" s="65">
        <f t="shared" si="37"/>
      </c>
      <c r="AJ31" s="65">
        <f t="shared" si="37"/>
      </c>
      <c r="AK31" s="65">
        <f t="shared" si="37"/>
      </c>
      <c r="AL31" s="65">
        <f t="shared" si="37"/>
      </c>
      <c r="AM31" s="65">
        <f t="shared" si="37"/>
      </c>
      <c r="AN31" s="65">
        <f t="shared" si="37"/>
      </c>
      <c r="AO31" s="65">
        <f t="shared" si="37"/>
      </c>
      <c r="AP31" s="65">
        <f t="shared" si="37"/>
      </c>
      <c r="AQ31" s="65">
        <f t="shared" si="37"/>
      </c>
      <c r="AR31" s="65">
        <f t="shared" si="37"/>
      </c>
      <c r="AS31" s="65">
        <f t="shared" si="37"/>
      </c>
      <c r="AT31" s="65">
        <f t="shared" si="37"/>
      </c>
      <c r="AU31" s="65">
        <f t="shared" si="37"/>
      </c>
      <c r="AV31" s="65" t="str">
        <f t="shared" si="37"/>
        <v>  |</v>
      </c>
      <c r="AW31" s="65">
        <f t="shared" si="37"/>
      </c>
      <c r="AX31" s="65">
        <f t="shared" si="37"/>
      </c>
      <c r="AY31" s="65">
        <f t="shared" si="37"/>
      </c>
      <c r="AZ31" s="65">
        <f t="shared" si="37"/>
      </c>
      <c r="BA31" s="65">
        <f t="shared" si="37"/>
      </c>
      <c r="BB31" s="65">
        <f t="shared" si="37"/>
      </c>
      <c r="BC31" s="65">
        <f t="shared" si="37"/>
      </c>
      <c r="BD31" s="65">
        <f t="shared" si="37"/>
      </c>
      <c r="BE31" s="65">
        <f t="shared" si="37"/>
      </c>
      <c r="BF31" s="65">
        <f t="shared" si="37"/>
      </c>
      <c r="BG31" s="65">
        <f t="shared" si="37"/>
      </c>
      <c r="BH31" s="65">
        <f t="shared" si="37"/>
      </c>
      <c r="BI31" s="65">
        <f t="shared" si="37"/>
      </c>
      <c r="BJ31" s="65">
        <f t="shared" si="37"/>
      </c>
      <c r="BK31" s="65">
        <f t="shared" si="37"/>
      </c>
      <c r="BL31" s="65">
        <f t="shared" si="37"/>
      </c>
      <c r="BM31" s="65">
        <f t="shared" si="37"/>
      </c>
      <c r="BN31" s="65">
        <f t="shared" si="37"/>
      </c>
      <c r="BO31" s="65">
        <f t="shared" si="37"/>
      </c>
      <c r="BP31" s="65" t="str">
        <f t="shared" si="37"/>
        <v>  |</v>
      </c>
      <c r="BQ31" s="7"/>
      <c r="BT31" s="68"/>
      <c r="BW31" s="28"/>
      <c r="BX31" s="26"/>
      <c r="BY31" s="73" t="str">
        <f t="shared" si="2"/>
        <v>----</v>
      </c>
      <c r="BZ31" s="73" t="s">
        <v>258</v>
      </c>
      <c r="CA31" s="73" t="str">
        <f t="shared" si="3"/>
        <v>----</v>
      </c>
      <c r="CB31" s="73" t="s">
        <v>258</v>
      </c>
      <c r="CC31" s="73" t="str">
        <f t="shared" si="4"/>
        <v>----</v>
      </c>
      <c r="CD31" s="26"/>
      <c r="CE31" s="26"/>
      <c r="CF31" s="26"/>
      <c r="CG31" s="60"/>
      <c r="CH31" s="27"/>
      <c r="CI31" s="7"/>
      <c r="CJ31" s="7"/>
      <c r="CL31" s="229" t="s">
        <v>432</v>
      </c>
      <c r="CM31" s="60"/>
      <c r="CN31" s="60"/>
      <c r="CO31" s="198">
        <f>R162*R158/100</f>
        <v>0.26510000000000006</v>
      </c>
      <c r="CP31" s="271">
        <f>+R88+R90-R80</f>
        <v>14.497</v>
      </c>
      <c r="CQ31" s="179">
        <f t="shared" si="21"/>
        <v>0.024669635849151775</v>
      </c>
      <c r="CR31" s="271">
        <f>+S88+S90-S80</f>
        <v>10.292</v>
      </c>
      <c r="CS31" s="179">
        <f t="shared" si="22"/>
        <v>0.014076431796870471</v>
      </c>
      <c r="CT31" s="271">
        <f>+T88+T90-T80</f>
        <v>6.475</v>
      </c>
      <c r="CU31" s="230">
        <f t="shared" si="23"/>
        <v>0.006456352568820156</v>
      </c>
      <c r="CV31" s="190" t="s">
        <v>231</v>
      </c>
      <c r="CX31" s="85" t="s">
        <v>498</v>
      </c>
      <c r="CY31" s="60"/>
      <c r="CZ31" s="60"/>
      <c r="DA31" s="197">
        <f>+R159*R160/100</f>
        <v>68.6</v>
      </c>
      <c r="DB31" s="200">
        <f>+Q143*Q144/100</f>
        <v>71.03516081147946</v>
      </c>
      <c r="DC31" s="290"/>
      <c r="DD31" s="200">
        <f>+R143*R144/100</f>
        <v>71.6897539639147</v>
      </c>
      <c r="DE31" s="290"/>
      <c r="DF31" s="295">
        <f>+S143*S144/100</f>
        <v>90.1244791053561</v>
      </c>
      <c r="DG31" s="260"/>
      <c r="DH31" s="58" t="s">
        <v>231</v>
      </c>
      <c r="DJ31" s="369" t="s">
        <v>610</v>
      </c>
      <c r="DK31" s="461" t="s">
        <v>611</v>
      </c>
      <c r="DL31" s="369" t="s">
        <v>564</v>
      </c>
      <c r="DM31" s="369" t="s">
        <v>565</v>
      </c>
      <c r="DN31" s="369" t="s">
        <v>566</v>
      </c>
      <c r="DO31" s="462" t="s">
        <v>567</v>
      </c>
      <c r="DQ31" s="58" t="s">
        <v>231</v>
      </c>
    </row>
    <row r="32" spans="2:121" ht="19.5" customHeight="1" thickBot="1">
      <c r="B32" s="65" t="s">
        <v>2344</v>
      </c>
      <c r="D32" s="140" t="s">
        <v>39</v>
      </c>
      <c r="F32" s="399">
        <v>0</v>
      </c>
      <c r="G32" s="409">
        <v>1469821</v>
      </c>
      <c r="H32" s="410">
        <v>1197137</v>
      </c>
      <c r="I32" s="119" t="s">
        <v>231</v>
      </c>
      <c r="J32" s="33">
        <f t="shared" si="17"/>
        <v>0</v>
      </c>
      <c r="K32" s="33">
        <f t="shared" si="18"/>
        <v>1469.821</v>
      </c>
      <c r="L32" s="33">
        <f t="shared" si="19"/>
        <v>1197.137</v>
      </c>
      <c r="M32" s="58" t="s">
        <v>231</v>
      </c>
      <c r="N32" s="55" t="s">
        <v>1</v>
      </c>
      <c r="O32" s="55" t="s">
        <v>380</v>
      </c>
      <c r="Q32" s="55" t="s">
        <v>54</v>
      </c>
      <c r="R32" s="2">
        <f>J37</f>
        <v>33044.962</v>
      </c>
      <c r="S32" s="2">
        <f>K37</f>
        <v>35019.013</v>
      </c>
      <c r="T32" s="2">
        <f>L37</f>
        <v>38647.57</v>
      </c>
      <c r="U32" s="55" t="s">
        <v>1</v>
      </c>
      <c r="V32" s="7"/>
      <c r="Z32" s="55" t="s">
        <v>276</v>
      </c>
      <c r="AB32" s="65" t="str">
        <f aca="true" t="shared" si="38" ref="AB32:BP32">+AB117</f>
        <v>  |</v>
      </c>
      <c r="AC32" s="65">
        <f t="shared" si="38"/>
      </c>
      <c r="AD32" s="65">
        <f t="shared" si="38"/>
      </c>
      <c r="AE32" s="65">
        <f t="shared" si="38"/>
      </c>
      <c r="AF32" s="65">
        <f t="shared" si="38"/>
      </c>
      <c r="AG32" s="65">
        <f t="shared" si="38"/>
      </c>
      <c r="AH32" s="65">
        <f t="shared" si="38"/>
      </c>
      <c r="AI32" s="65">
        <f t="shared" si="38"/>
      </c>
      <c r="AJ32" s="65">
        <f t="shared" si="38"/>
      </c>
      <c r="AK32" s="65">
        <f t="shared" si="38"/>
      </c>
      <c r="AL32" s="65">
        <f t="shared" si="38"/>
      </c>
      <c r="AM32" s="65">
        <f t="shared" si="38"/>
      </c>
      <c r="AN32" s="65">
        <f t="shared" si="38"/>
      </c>
      <c r="AO32" s="65">
        <f t="shared" si="38"/>
      </c>
      <c r="AP32" s="65">
        <f t="shared" si="38"/>
      </c>
      <c r="AQ32" s="65">
        <f t="shared" si="38"/>
      </c>
      <c r="AR32" s="65">
        <f t="shared" si="38"/>
      </c>
      <c r="AS32" s="65">
        <f t="shared" si="38"/>
      </c>
      <c r="AT32" s="65">
        <f t="shared" si="38"/>
      </c>
      <c r="AU32" s="65">
        <f t="shared" si="38"/>
      </c>
      <c r="AV32" s="65" t="str">
        <f t="shared" si="38"/>
        <v>  |</v>
      </c>
      <c r="AW32" s="65">
        <f t="shared" si="38"/>
      </c>
      <c r="AX32" s="65">
        <f t="shared" si="38"/>
      </c>
      <c r="AY32" s="65">
        <f t="shared" si="38"/>
      </c>
      <c r="AZ32" s="65">
        <f t="shared" si="38"/>
      </c>
      <c r="BA32" s="65">
        <f t="shared" si="38"/>
      </c>
      <c r="BB32" s="65">
        <f t="shared" si="38"/>
      </c>
      <c r="BC32" s="65">
        <f t="shared" si="38"/>
      </c>
      <c r="BD32" s="65">
        <f t="shared" si="38"/>
      </c>
      <c r="BE32" s="65">
        <f t="shared" si="38"/>
      </c>
      <c r="BF32" s="65">
        <f t="shared" si="38"/>
      </c>
      <c r="BG32" s="65">
        <f t="shared" si="38"/>
      </c>
      <c r="BH32" s="65">
        <f t="shared" si="38"/>
      </c>
      <c r="BI32" s="65">
        <f t="shared" si="38"/>
      </c>
      <c r="BJ32" s="65">
        <f t="shared" si="38"/>
      </c>
      <c r="BK32" s="65">
        <f t="shared" si="38"/>
      </c>
      <c r="BL32" s="65">
        <f t="shared" si="38"/>
      </c>
      <c r="BM32" s="65">
        <f t="shared" si="38"/>
      </c>
      <c r="BN32" s="65">
        <f t="shared" si="38"/>
      </c>
      <c r="BO32" s="65">
        <f t="shared" si="38"/>
      </c>
      <c r="BP32" s="65" t="str">
        <f t="shared" si="38"/>
        <v>  |</v>
      </c>
      <c r="BQ32" s="7"/>
      <c r="BT32" s="68"/>
      <c r="BU32" s="26"/>
      <c r="BV32" s="60"/>
      <c r="BW32" s="28" t="s">
        <v>74</v>
      </c>
      <c r="BX32" s="26"/>
      <c r="BY32" s="73" t="str">
        <f t="shared" si="2"/>
        <v>----</v>
      </c>
      <c r="BZ32" s="73" t="s">
        <v>258</v>
      </c>
      <c r="CA32" s="73" t="str">
        <f t="shared" si="3"/>
        <v>----</v>
      </c>
      <c r="CB32" s="73" t="s">
        <v>258</v>
      </c>
      <c r="CC32" s="73" t="str">
        <f t="shared" si="4"/>
        <v>----</v>
      </c>
      <c r="CD32" s="26"/>
      <c r="CE32" s="26"/>
      <c r="CF32" s="26" t="s">
        <v>75</v>
      </c>
      <c r="CG32" s="60"/>
      <c r="CH32" s="27"/>
      <c r="CI32" s="7"/>
      <c r="CJ32" s="7"/>
      <c r="CL32" s="229" t="s">
        <v>436</v>
      </c>
      <c r="CM32" s="60"/>
      <c r="CN32" s="60"/>
      <c r="CO32" s="198"/>
      <c r="CP32" s="271">
        <f>+R75</f>
        <v>1.645</v>
      </c>
      <c r="CQ32" s="179">
        <f t="shared" si="21"/>
        <v>0.002799306820159665</v>
      </c>
      <c r="CR32" s="271">
        <f>+S75</f>
        <v>0</v>
      </c>
      <c r="CS32" s="179">
        <f t="shared" si="22"/>
        <v>0</v>
      </c>
      <c r="CT32" s="271">
        <f>+T75</f>
        <v>678.258</v>
      </c>
      <c r="CU32" s="230">
        <f t="shared" si="23"/>
        <v>0.6763046765440652</v>
      </c>
      <c r="CV32" s="190" t="s">
        <v>231</v>
      </c>
      <c r="CX32" s="90" t="s">
        <v>499</v>
      </c>
      <c r="CY32" s="91"/>
      <c r="CZ32" s="91"/>
      <c r="DA32" s="261">
        <f>+R159/R158*100</f>
        <v>414.93775933609953</v>
      </c>
      <c r="DB32" s="262">
        <f>+Q143/Q142*100</f>
        <v>290.7696585848589</v>
      </c>
      <c r="DC32" s="298"/>
      <c r="DD32" s="262">
        <f>+R143/R142*100</f>
        <v>399.7546200109349</v>
      </c>
      <c r="DE32" s="298"/>
      <c r="DF32" s="296">
        <f>+S143/S142*100</f>
        <v>590.2814773396117</v>
      </c>
      <c r="DG32" s="297"/>
      <c r="DH32" s="58" t="s">
        <v>231</v>
      </c>
      <c r="DJ32" s="369" t="s">
        <v>612</v>
      </c>
      <c r="DK32" s="461" t="s">
        <v>613</v>
      </c>
      <c r="DL32" s="369" t="s">
        <v>564</v>
      </c>
      <c r="DM32" s="369" t="s">
        <v>565</v>
      </c>
      <c r="DN32" s="369" t="s">
        <v>566</v>
      </c>
      <c r="DO32" s="462" t="s">
        <v>567</v>
      </c>
      <c r="DQ32" s="58" t="s">
        <v>231</v>
      </c>
    </row>
    <row r="33" spans="2:121" ht="19.5" customHeight="1" thickBot="1" thickTop="1">
      <c r="B33" s="424" t="s">
        <v>2273</v>
      </c>
      <c r="C33" s="425" t="s">
        <v>2270</v>
      </c>
      <c r="D33" s="444" t="s">
        <v>2268</v>
      </c>
      <c r="E33" s="428" t="s">
        <v>2406</v>
      </c>
      <c r="F33" s="429"/>
      <c r="G33" s="429"/>
      <c r="H33" s="429"/>
      <c r="I33" s="120"/>
      <c r="J33" s="485" t="s">
        <v>231</v>
      </c>
      <c r="K33" s="120"/>
      <c r="L33" s="120"/>
      <c r="M33" s="58" t="s">
        <v>231</v>
      </c>
      <c r="N33" s="55" t="s">
        <v>1</v>
      </c>
      <c r="O33" s="55" t="s">
        <v>381</v>
      </c>
      <c r="Q33" s="55" t="s">
        <v>370</v>
      </c>
      <c r="R33" s="2">
        <f>(J34-J35-J36-J37)</f>
        <v>108.33000000000175</v>
      </c>
      <c r="S33" s="2">
        <f>(K34-K35-K36-K37)</f>
        <v>62.042999999997846</v>
      </c>
      <c r="T33" s="2">
        <f>(L34-L35-L36-L37)</f>
        <v>25.987999999997555</v>
      </c>
      <c r="U33" s="55" t="s">
        <v>1</v>
      </c>
      <c r="V33" s="7"/>
      <c r="AB33" s="65" t="str">
        <f aca="true" t="shared" si="39" ref="AB33:BP33">+AB118</f>
        <v>  |</v>
      </c>
      <c r="AC33" s="65">
        <f t="shared" si="39"/>
      </c>
      <c r="AD33" s="65">
        <f t="shared" si="39"/>
      </c>
      <c r="AE33" s="65">
        <f t="shared" si="39"/>
      </c>
      <c r="AF33" s="65">
        <f t="shared" si="39"/>
      </c>
      <c r="AG33" s="65">
        <f t="shared" si="39"/>
      </c>
      <c r="AH33" s="65">
        <f t="shared" si="39"/>
      </c>
      <c r="AI33" s="65">
        <f t="shared" si="39"/>
      </c>
      <c r="AJ33" s="65">
        <f t="shared" si="39"/>
      </c>
      <c r="AK33" s="65">
        <f t="shared" si="39"/>
      </c>
      <c r="AL33" s="65">
        <f t="shared" si="39"/>
      </c>
      <c r="AM33" s="65">
        <f t="shared" si="39"/>
      </c>
      <c r="AN33" s="65">
        <f t="shared" si="39"/>
      </c>
      <c r="AO33" s="65">
        <f t="shared" si="39"/>
      </c>
      <c r="AP33" s="65">
        <f t="shared" si="39"/>
      </c>
      <c r="AQ33" s="65">
        <f t="shared" si="39"/>
      </c>
      <c r="AR33" s="65">
        <f t="shared" si="39"/>
      </c>
      <c r="AS33" s="65">
        <f t="shared" si="39"/>
      </c>
      <c r="AT33" s="65">
        <f t="shared" si="39"/>
      </c>
      <c r="AU33" s="65">
        <f t="shared" si="39"/>
      </c>
      <c r="AV33" s="65" t="str">
        <f t="shared" si="39"/>
        <v>  |</v>
      </c>
      <c r="AW33" s="65">
        <f t="shared" si="39"/>
      </c>
      <c r="AX33" s="65">
        <f t="shared" si="39"/>
      </c>
      <c r="AY33" s="65">
        <f t="shared" si="39"/>
      </c>
      <c r="AZ33" s="65">
        <f t="shared" si="39"/>
      </c>
      <c r="BA33" s="65">
        <f t="shared" si="39"/>
      </c>
      <c r="BB33" s="65">
        <f t="shared" si="39"/>
      </c>
      <c r="BC33" s="65">
        <f t="shared" si="39"/>
      </c>
      <c r="BD33" s="65">
        <f t="shared" si="39"/>
      </c>
      <c r="BE33" s="65">
        <f t="shared" si="39"/>
      </c>
      <c r="BF33" s="65">
        <f t="shared" si="39"/>
      </c>
      <c r="BG33" s="65">
        <f t="shared" si="39"/>
      </c>
      <c r="BH33" s="65">
        <f t="shared" si="39"/>
      </c>
      <c r="BI33" s="65">
        <f t="shared" si="39"/>
      </c>
      <c r="BJ33" s="65">
        <f t="shared" si="39"/>
      </c>
      <c r="BK33" s="65">
        <f t="shared" si="39"/>
      </c>
      <c r="BL33" s="65">
        <f t="shared" si="39"/>
      </c>
      <c r="BM33" s="65">
        <f t="shared" si="39"/>
      </c>
      <c r="BN33" s="65">
        <f t="shared" si="39"/>
      </c>
      <c r="BO33" s="65">
        <f t="shared" si="39"/>
      </c>
      <c r="BP33" s="65" t="str">
        <f t="shared" si="39"/>
        <v>  |</v>
      </c>
      <c r="BQ33" s="7"/>
      <c r="BT33" s="68"/>
      <c r="BU33" s="26"/>
      <c r="BV33" s="60"/>
      <c r="BW33" s="28"/>
      <c r="BX33" s="26"/>
      <c r="BY33" s="73" t="str">
        <f t="shared" si="2"/>
        <v>----</v>
      </c>
      <c r="BZ33" s="73" t="s">
        <v>258</v>
      </c>
      <c r="CA33" s="73" t="str">
        <f t="shared" si="3"/>
        <v>----</v>
      </c>
      <c r="CB33" s="73" t="s">
        <v>258</v>
      </c>
      <c r="CC33" s="73" t="str">
        <f t="shared" si="4"/>
        <v>----</v>
      </c>
      <c r="CD33" s="26"/>
      <c r="CE33" s="26"/>
      <c r="CF33" s="26"/>
      <c r="CG33" s="60"/>
      <c r="CH33" s="27"/>
      <c r="CI33" s="7"/>
      <c r="CJ33" s="7"/>
      <c r="CL33" s="233" t="s">
        <v>433</v>
      </c>
      <c r="CM33" s="234"/>
      <c r="CN33" s="234"/>
      <c r="CO33" s="235">
        <f>+R163/(R164-R163)*(R161*R158)/100</f>
        <v>2.1822086538461543</v>
      </c>
      <c r="CP33" s="273">
        <f>+CP30-CP31-CP32</f>
        <v>-9531.626000000007</v>
      </c>
      <c r="CQ33" s="236">
        <f t="shared" si="21"/>
        <v>-16.220027762316843</v>
      </c>
      <c r="CR33" s="273">
        <f>+CR30-CR31-CR32</f>
        <v>2736.0509999999954</v>
      </c>
      <c r="CS33" s="236">
        <f t="shared" si="22"/>
        <v>3.7421138062824704</v>
      </c>
      <c r="CT33" s="273">
        <f>+CT30-CT31-CT32</f>
        <v>6232.057000000003</v>
      </c>
      <c r="CU33" s="237">
        <f t="shared" si="23"/>
        <v>6.21410922331794</v>
      </c>
      <c r="CV33" s="190" t="s">
        <v>231</v>
      </c>
      <c r="DH33" s="58" t="s">
        <v>231</v>
      </c>
      <c r="DJ33" s="369" t="s">
        <v>614</v>
      </c>
      <c r="DK33" s="461" t="s">
        <v>615</v>
      </c>
      <c r="DL33" s="369" t="s">
        <v>564</v>
      </c>
      <c r="DM33" s="369" t="s">
        <v>565</v>
      </c>
      <c r="DN33" s="369" t="s">
        <v>566</v>
      </c>
      <c r="DO33" s="462" t="s">
        <v>567</v>
      </c>
      <c r="DQ33" s="58" t="s">
        <v>231</v>
      </c>
    </row>
    <row r="34" spans="2:121" ht="19.5" customHeight="1" thickBot="1" thickTop="1">
      <c r="B34" s="65" t="s">
        <v>2345</v>
      </c>
      <c r="D34" s="140" t="s">
        <v>45</v>
      </c>
      <c r="F34" s="402">
        <v>35290529</v>
      </c>
      <c r="G34" s="403">
        <v>37218293</v>
      </c>
      <c r="H34" s="404">
        <v>40810795</v>
      </c>
      <c r="I34" s="119" t="s">
        <v>231</v>
      </c>
      <c r="J34" s="33">
        <f aca="true" t="shared" si="40" ref="J34:L40">+F34/1000</f>
        <v>35290.529</v>
      </c>
      <c r="K34" s="33">
        <f t="shared" si="40"/>
        <v>37218.293</v>
      </c>
      <c r="L34" s="33">
        <f t="shared" si="40"/>
        <v>40810.795</v>
      </c>
      <c r="M34" s="58" t="s">
        <v>231</v>
      </c>
      <c r="N34" s="55" t="s">
        <v>1</v>
      </c>
      <c r="O34" s="55" t="s">
        <v>382</v>
      </c>
      <c r="Q34" s="55" t="s">
        <v>62</v>
      </c>
      <c r="R34" s="2">
        <f aca="true" t="shared" si="41" ref="R34:T35">J38</f>
        <v>14357.001</v>
      </c>
      <c r="S34" s="2">
        <f t="shared" si="41"/>
        <v>12070.978</v>
      </c>
      <c r="T34" s="2">
        <f t="shared" si="41"/>
        <v>9826.127</v>
      </c>
      <c r="U34" s="55" t="s">
        <v>1</v>
      </c>
      <c r="V34" s="7"/>
      <c r="W34" s="7"/>
      <c r="Z34" s="55" t="s">
        <v>277</v>
      </c>
      <c r="AB34" s="65" t="str">
        <f aca="true" t="shared" si="42" ref="AB34:BP34">+AB119</f>
        <v>--</v>
      </c>
      <c r="AC34" s="65" t="str">
        <f t="shared" si="42"/>
        <v>--</v>
      </c>
      <c r="AD34" s="65" t="str">
        <f t="shared" si="42"/>
        <v>--</v>
      </c>
      <c r="AE34" s="65" t="str">
        <f t="shared" si="42"/>
        <v>--</v>
      </c>
      <c r="AF34" s="65" t="str">
        <f t="shared" si="42"/>
        <v>--</v>
      </c>
      <c r="AG34" s="65" t="str">
        <f t="shared" si="42"/>
        <v>--</v>
      </c>
      <c r="AH34" s="65" t="str">
        <f t="shared" si="42"/>
        <v>--</v>
      </c>
      <c r="AI34" s="65" t="str">
        <f t="shared" si="42"/>
        <v>--</v>
      </c>
      <c r="AJ34" s="65" t="str">
        <f t="shared" si="42"/>
        <v>--</v>
      </c>
      <c r="AK34" s="65" t="str">
        <f t="shared" si="42"/>
        <v>--</v>
      </c>
      <c r="AL34" s="65" t="str">
        <f t="shared" si="42"/>
        <v>--</v>
      </c>
      <c r="AM34" s="65" t="str">
        <f t="shared" si="42"/>
        <v>--</v>
      </c>
      <c r="AN34" s="65" t="str">
        <f t="shared" si="42"/>
        <v>--</v>
      </c>
      <c r="AO34" s="65" t="str">
        <f t="shared" si="42"/>
        <v>--</v>
      </c>
      <c r="AP34" s="65" t="str">
        <f t="shared" si="42"/>
        <v>--</v>
      </c>
      <c r="AQ34" s="65" t="str">
        <f t="shared" si="42"/>
        <v>--</v>
      </c>
      <c r="AR34" s="65" t="str">
        <f t="shared" si="42"/>
        <v>--</v>
      </c>
      <c r="AS34" s="65" t="str">
        <f t="shared" si="42"/>
        <v>--</v>
      </c>
      <c r="AT34" s="65" t="str">
        <f t="shared" si="42"/>
        <v>--</v>
      </c>
      <c r="AU34" s="65" t="str">
        <f t="shared" si="42"/>
        <v>--</v>
      </c>
      <c r="AV34" s="65" t="str">
        <f t="shared" si="42"/>
        <v>--</v>
      </c>
      <c r="AW34" s="65" t="str">
        <f t="shared" si="42"/>
        <v>--</v>
      </c>
      <c r="AX34" s="65" t="str">
        <f t="shared" si="42"/>
        <v>--</v>
      </c>
      <c r="AY34" s="65" t="str">
        <f t="shared" si="42"/>
        <v>--</v>
      </c>
      <c r="AZ34" s="65" t="str">
        <f t="shared" si="42"/>
        <v>--</v>
      </c>
      <c r="BA34" s="65" t="str">
        <f t="shared" si="42"/>
        <v>--</v>
      </c>
      <c r="BB34" s="65" t="str">
        <f t="shared" si="42"/>
        <v>--</v>
      </c>
      <c r="BC34" s="65" t="str">
        <f t="shared" si="42"/>
        <v>--</v>
      </c>
      <c r="BD34" s="65" t="str">
        <f t="shared" si="42"/>
        <v>--</v>
      </c>
      <c r="BE34" s="65" t="str">
        <f t="shared" si="42"/>
        <v>--</v>
      </c>
      <c r="BF34" s="65" t="str">
        <f t="shared" si="42"/>
        <v>--</v>
      </c>
      <c r="BG34" s="65" t="str">
        <f t="shared" si="42"/>
        <v>--</v>
      </c>
      <c r="BH34" s="65" t="str">
        <f t="shared" si="42"/>
        <v>--</v>
      </c>
      <c r="BI34" s="65" t="str">
        <f t="shared" si="42"/>
        <v>--</v>
      </c>
      <c r="BJ34" s="65" t="str">
        <f t="shared" si="42"/>
        <v>--</v>
      </c>
      <c r="BK34" s="65" t="str">
        <f t="shared" si="42"/>
        <v>--</v>
      </c>
      <c r="BL34" s="65" t="str">
        <f t="shared" si="42"/>
        <v>--</v>
      </c>
      <c r="BM34" s="65" t="str">
        <f t="shared" si="42"/>
        <v>--</v>
      </c>
      <c r="BN34" s="65" t="str">
        <f t="shared" si="42"/>
        <v>--</v>
      </c>
      <c r="BO34" s="65" t="str">
        <f t="shared" si="42"/>
        <v>--</v>
      </c>
      <c r="BP34" s="65" t="str">
        <f t="shared" si="42"/>
        <v>--</v>
      </c>
      <c r="BQ34" s="7"/>
      <c r="BT34" s="126" t="s">
        <v>359</v>
      </c>
      <c r="BU34" s="26"/>
      <c r="BV34" s="60"/>
      <c r="BW34" s="28" t="s">
        <v>80</v>
      </c>
      <c r="BX34" s="26"/>
      <c r="BY34" s="73" t="str">
        <f t="shared" si="2"/>
        <v>----</v>
      </c>
      <c r="BZ34" s="73" t="s">
        <v>258</v>
      </c>
      <c r="CA34" s="73" t="str">
        <f t="shared" si="3"/>
        <v>----</v>
      </c>
      <c r="CB34" s="73" t="s">
        <v>258</v>
      </c>
      <c r="CC34" s="73" t="str">
        <f t="shared" si="4"/>
        <v>----</v>
      </c>
      <c r="CD34" s="26"/>
      <c r="CE34" s="127" t="s">
        <v>360</v>
      </c>
      <c r="CF34" s="29"/>
      <c r="CG34" s="29"/>
      <c r="CH34" s="30"/>
      <c r="CI34" s="7"/>
      <c r="CJ34" s="7"/>
      <c r="CX34" s="244" t="s">
        <v>483</v>
      </c>
      <c r="CY34" s="83"/>
      <c r="CZ34" s="83"/>
      <c r="DA34" s="220"/>
      <c r="DB34" s="205">
        <f>+$R$7</f>
        <v>2020</v>
      </c>
      <c r="DC34" s="206"/>
      <c r="DD34" s="205">
        <f>+$S$7</f>
        <v>2021</v>
      </c>
      <c r="DE34" s="206"/>
      <c r="DF34" s="205">
        <f>+$T$7</f>
        <v>2022</v>
      </c>
      <c r="DG34" s="84"/>
      <c r="DJ34" s="369" t="s">
        <v>616</v>
      </c>
      <c r="DK34" s="461" t="s">
        <v>617</v>
      </c>
      <c r="DL34" s="369" t="s">
        <v>564</v>
      </c>
      <c r="DM34" s="369" t="s">
        <v>565</v>
      </c>
      <c r="DN34" s="369" t="s">
        <v>566</v>
      </c>
      <c r="DO34" s="462" t="s">
        <v>567</v>
      </c>
      <c r="DQ34" s="58" t="s">
        <v>231</v>
      </c>
    </row>
    <row r="35" spans="3:121" ht="19.5" customHeight="1">
      <c r="C35" s="137" t="str">
        <f>IF(T14="app","Apport","Capital")</f>
        <v>Capital</v>
      </c>
      <c r="D35" s="140" t="str">
        <f>IF(T14="app","10/11","10")</f>
        <v>10</v>
      </c>
      <c r="F35" s="405">
        <v>1388204</v>
      </c>
      <c r="G35" s="378">
        <v>1388204</v>
      </c>
      <c r="H35" s="406">
        <v>1388204</v>
      </c>
      <c r="I35" s="119" t="s">
        <v>231</v>
      </c>
      <c r="J35" s="33">
        <f t="shared" si="40"/>
        <v>1388.204</v>
      </c>
      <c r="K35" s="33">
        <f t="shared" si="40"/>
        <v>1388.204</v>
      </c>
      <c r="L35" s="33">
        <f t="shared" si="40"/>
        <v>1388.204</v>
      </c>
      <c r="M35" s="58" t="s">
        <v>231</v>
      </c>
      <c r="N35" s="55" t="s">
        <v>1</v>
      </c>
      <c r="O35" s="55" t="s">
        <v>383</v>
      </c>
      <c r="Q35" s="55" t="s">
        <v>64</v>
      </c>
      <c r="R35" s="2">
        <f t="shared" si="41"/>
        <v>0</v>
      </c>
      <c r="S35" s="2">
        <f t="shared" si="41"/>
        <v>0</v>
      </c>
      <c r="T35" s="2">
        <f t="shared" si="41"/>
        <v>0</v>
      </c>
      <c r="U35" s="55" t="s">
        <v>1</v>
      </c>
      <c r="V35" s="7"/>
      <c r="W35" s="7"/>
      <c r="AA35" s="55" t="s">
        <v>2</v>
      </c>
      <c r="AB35" s="65" t="s">
        <v>280</v>
      </c>
      <c r="AH35" s="74" t="s">
        <v>77</v>
      </c>
      <c r="AV35" s="65" t="s">
        <v>280</v>
      </c>
      <c r="BB35" s="74" t="s">
        <v>78</v>
      </c>
      <c r="BP35" s="65" t="s">
        <v>280</v>
      </c>
      <c r="BQ35" s="7"/>
      <c r="BT35" s="68"/>
      <c r="BU35" s="26" t="s">
        <v>17</v>
      </c>
      <c r="BV35" s="60"/>
      <c r="BW35" s="28"/>
      <c r="BX35" s="26"/>
      <c r="BY35" s="73" t="str">
        <f t="shared" si="2"/>
        <v>----</v>
      </c>
      <c r="BZ35" s="73" t="s">
        <v>258</v>
      </c>
      <c r="CA35" s="73" t="str">
        <f t="shared" si="3"/>
        <v>----</v>
      </c>
      <c r="CB35" s="73" t="s">
        <v>258</v>
      </c>
      <c r="CC35" s="73" t="str">
        <f t="shared" si="4"/>
        <v>----</v>
      </c>
      <c r="CD35" s="26"/>
      <c r="CE35" s="60"/>
      <c r="CF35" s="26"/>
      <c r="CG35" s="60"/>
      <c r="CH35" s="27"/>
      <c r="CI35" s="7"/>
      <c r="CJ35" s="7"/>
      <c r="CL35" s="204" t="s">
        <v>441</v>
      </c>
      <c r="CM35" s="83"/>
      <c r="CN35" s="83"/>
      <c r="CO35" s="238" t="s">
        <v>442</v>
      </c>
      <c r="CP35" s="205">
        <f>+$R$7</f>
        <v>2020</v>
      </c>
      <c r="CQ35" s="206"/>
      <c r="CR35" s="205">
        <f>+$S$7</f>
        <v>2021</v>
      </c>
      <c r="CS35" s="206"/>
      <c r="CT35" s="205">
        <f>+$T$7</f>
        <v>2022</v>
      </c>
      <c r="CU35" s="215"/>
      <c r="CV35" s="188" t="s">
        <v>231</v>
      </c>
      <c r="CX35" s="85" t="s">
        <v>493</v>
      </c>
      <c r="CY35" s="60"/>
      <c r="CZ35" s="60"/>
      <c r="DA35" s="60"/>
      <c r="DB35" s="284">
        <f>+R84+R86+R91</f>
        <v>5500</v>
      </c>
      <c r="DC35" s="186"/>
      <c r="DD35" s="284">
        <f>+S84+S86+S91</f>
        <v>0</v>
      </c>
      <c r="DE35" s="186"/>
      <c r="DF35" s="284">
        <f>+T84+T86+T91</f>
        <v>0</v>
      </c>
      <c r="DG35" s="257"/>
      <c r="DH35" s="58" t="s">
        <v>231</v>
      </c>
      <c r="DJ35" s="369" t="s">
        <v>618</v>
      </c>
      <c r="DK35" s="461" t="s">
        <v>619</v>
      </c>
      <c r="DL35" s="369" t="s">
        <v>564</v>
      </c>
      <c r="DM35" s="369" t="s">
        <v>565</v>
      </c>
      <c r="DN35" s="369" t="s">
        <v>566</v>
      </c>
      <c r="DO35" s="462" t="s">
        <v>567</v>
      </c>
      <c r="DQ35" s="58" t="s">
        <v>231</v>
      </c>
    </row>
    <row r="36" spans="3:121" ht="19.5" customHeight="1">
      <c r="C36" s="137" t="s">
        <v>2346</v>
      </c>
      <c r="D36" s="140" t="s">
        <v>53</v>
      </c>
      <c r="F36" s="405">
        <v>749033</v>
      </c>
      <c r="G36" s="378">
        <v>749033</v>
      </c>
      <c r="H36" s="406">
        <v>749033</v>
      </c>
      <c r="I36" s="119" t="s">
        <v>231</v>
      </c>
      <c r="J36" s="33">
        <f t="shared" si="40"/>
        <v>749.033</v>
      </c>
      <c r="K36" s="33">
        <f t="shared" si="40"/>
        <v>749.033</v>
      </c>
      <c r="L36" s="33">
        <f t="shared" si="40"/>
        <v>749.033</v>
      </c>
      <c r="M36" s="58" t="s">
        <v>231</v>
      </c>
      <c r="N36" s="55" t="s">
        <v>1</v>
      </c>
      <c r="O36" s="55" t="s">
        <v>385</v>
      </c>
      <c r="Q36" s="55" t="s">
        <v>89</v>
      </c>
      <c r="R36" s="2">
        <f>(J42+J43)</f>
        <v>5500</v>
      </c>
      <c r="S36" s="2">
        <f>(K42+K43)</f>
        <v>0</v>
      </c>
      <c r="T36" s="2">
        <f>(L42+L43)</f>
        <v>0</v>
      </c>
      <c r="U36" s="55" t="s">
        <v>1</v>
      </c>
      <c r="V36" s="7"/>
      <c r="W36" s="7"/>
      <c r="AA36" s="55" t="s">
        <v>2</v>
      </c>
      <c r="AB36" s="65" t="s">
        <v>280</v>
      </c>
      <c r="AG36" s="65" t="s">
        <v>280</v>
      </c>
      <c r="AL36" s="65" t="s">
        <v>280</v>
      </c>
      <c r="AQ36" s="65" t="s">
        <v>280</v>
      </c>
      <c r="AV36" s="65" t="s">
        <v>280</v>
      </c>
      <c r="BA36" s="65" t="s">
        <v>280</v>
      </c>
      <c r="BF36" s="65" t="s">
        <v>280</v>
      </c>
      <c r="BH36" s="7"/>
      <c r="BI36" s="7"/>
      <c r="BJ36" s="7"/>
      <c r="BK36" s="65" t="s">
        <v>280</v>
      </c>
      <c r="BM36" s="7"/>
      <c r="BN36" s="7"/>
      <c r="BO36" s="7"/>
      <c r="BP36" s="65" t="s">
        <v>280</v>
      </c>
      <c r="BQ36" s="7"/>
      <c r="BT36" s="68"/>
      <c r="BU36" s="26"/>
      <c r="BV36" s="60"/>
      <c r="BW36" s="28" t="s">
        <v>86</v>
      </c>
      <c r="BX36" s="26"/>
      <c r="BY36" s="73" t="str">
        <f t="shared" si="2"/>
        <v>----</v>
      </c>
      <c r="BZ36" s="73" t="s">
        <v>258</v>
      </c>
      <c r="CA36" s="73" t="str">
        <f t="shared" si="3"/>
        <v>----</v>
      </c>
      <c r="CB36" s="73" t="s">
        <v>258</v>
      </c>
      <c r="CC36" s="73" t="str">
        <f t="shared" si="4"/>
        <v>----</v>
      </c>
      <c r="CD36" s="26"/>
      <c r="CE36" s="60"/>
      <c r="CF36" s="26" t="s">
        <v>87</v>
      </c>
      <c r="CG36" s="60"/>
      <c r="CH36" s="27"/>
      <c r="CI36" s="7"/>
      <c r="CJ36" s="7"/>
      <c r="CL36" s="85" t="s">
        <v>525</v>
      </c>
      <c r="CM36" s="60"/>
      <c r="CN36" s="60"/>
      <c r="CO36" s="203">
        <v>4.3178</v>
      </c>
      <c r="CP36" s="202">
        <f>+Q173/100</f>
        <v>0.46203558932399313</v>
      </c>
      <c r="CQ36" s="181">
        <f>+CP36*CO36</f>
        <v>1.9949772675831376</v>
      </c>
      <c r="CR36" s="202">
        <f>+R173/100</f>
        <v>0.48979704013323433</v>
      </c>
      <c r="CS36" s="181">
        <f>+CR36*CO36</f>
        <v>2.1148456598872793</v>
      </c>
      <c r="CT36" s="202">
        <f>+S173/100</f>
        <v>0.43422861469205176</v>
      </c>
      <c r="CU36" s="239">
        <f>+CT36*CO36</f>
        <v>1.874912312517341</v>
      </c>
      <c r="CV36" s="191" t="s">
        <v>231</v>
      </c>
      <c r="CX36" s="85" t="s">
        <v>494</v>
      </c>
      <c r="CY36" s="60"/>
      <c r="CZ36" s="60"/>
      <c r="DA36" s="60"/>
      <c r="DB36" s="271">
        <f>+(R30+R31+R32+R33)-(R84+R86+R91)</f>
        <v>29790.529000000002</v>
      </c>
      <c r="DC36" s="277"/>
      <c r="DD36" s="271">
        <f>+(S30+S31+S32+S33)-(S84+S86+S91)</f>
        <v>37218.293</v>
      </c>
      <c r="DE36" s="277"/>
      <c r="DF36" s="271">
        <f>+(T30+T31+T32+T33)-(T84+T86+T91)</f>
        <v>40810.795</v>
      </c>
      <c r="DG36" s="257"/>
      <c r="DH36" s="58" t="s">
        <v>231</v>
      </c>
      <c r="DJ36" s="369" t="s">
        <v>620</v>
      </c>
      <c r="DK36" s="461" t="s">
        <v>621</v>
      </c>
      <c r="DL36" s="369" t="s">
        <v>564</v>
      </c>
      <c r="DM36" s="369" t="s">
        <v>565</v>
      </c>
      <c r="DN36" s="369" t="s">
        <v>566</v>
      </c>
      <c r="DO36" s="462" t="s">
        <v>567</v>
      </c>
      <c r="DQ36" s="58" t="s">
        <v>231</v>
      </c>
    </row>
    <row r="37" spans="3:121" ht="19.5" customHeight="1" thickBot="1">
      <c r="C37" s="137" t="s">
        <v>2364</v>
      </c>
      <c r="D37" s="140" t="s">
        <v>54</v>
      </c>
      <c r="F37" s="405">
        <v>33044962</v>
      </c>
      <c r="G37" s="378">
        <v>35019013</v>
      </c>
      <c r="H37" s="406">
        <v>38647570</v>
      </c>
      <c r="I37" s="119" t="s">
        <v>231</v>
      </c>
      <c r="J37" s="33">
        <f t="shared" si="40"/>
        <v>33044.962</v>
      </c>
      <c r="K37" s="33">
        <f t="shared" si="40"/>
        <v>35019.013</v>
      </c>
      <c r="L37" s="33">
        <f t="shared" si="40"/>
        <v>38647.57</v>
      </c>
      <c r="M37" s="58" t="s">
        <v>231</v>
      </c>
      <c r="N37" s="55" t="s">
        <v>1</v>
      </c>
      <c r="O37" s="55" t="s">
        <v>386</v>
      </c>
      <c r="Q37" s="55" t="s">
        <v>76</v>
      </c>
      <c r="R37" s="2">
        <f>J45</f>
        <v>14584.982</v>
      </c>
      <c r="S37" s="2">
        <f>K45</f>
        <v>19312.603</v>
      </c>
      <c r="T37" s="2">
        <f>L45</f>
        <v>32825.779</v>
      </c>
      <c r="U37" s="55" t="s">
        <v>1</v>
      </c>
      <c r="V37" s="7"/>
      <c r="AB37" s="58" t="s">
        <v>83</v>
      </c>
      <c r="AG37" s="58" t="s">
        <v>281</v>
      </c>
      <c r="AL37" s="58" t="s">
        <v>84</v>
      </c>
      <c r="AP37" s="7"/>
      <c r="AQ37" s="58" t="s">
        <v>282</v>
      </c>
      <c r="AV37" s="77" t="s">
        <v>85</v>
      </c>
      <c r="BA37" s="58" t="s">
        <v>283</v>
      </c>
      <c r="BF37" s="58" t="s">
        <v>284</v>
      </c>
      <c r="BH37" s="7"/>
      <c r="BI37" s="7"/>
      <c r="BJ37" s="7"/>
      <c r="BK37" s="58" t="s">
        <v>285</v>
      </c>
      <c r="BM37" s="7"/>
      <c r="BN37" s="7"/>
      <c r="BO37" s="7"/>
      <c r="BP37" s="58" t="s">
        <v>286</v>
      </c>
      <c r="BQ37" s="7"/>
      <c r="BT37" s="68"/>
      <c r="BU37" s="26" t="s">
        <v>22</v>
      </c>
      <c r="BV37" s="60"/>
      <c r="BW37" s="28"/>
      <c r="BX37" s="26"/>
      <c r="BY37" s="73" t="str">
        <f t="shared" si="2"/>
        <v>----</v>
      </c>
      <c r="BZ37" s="73" t="s">
        <v>258</v>
      </c>
      <c r="CA37" s="73" t="str">
        <f t="shared" si="3"/>
        <v>----</v>
      </c>
      <c r="CB37" s="73" t="s">
        <v>258</v>
      </c>
      <c r="CC37" s="73" t="str">
        <f t="shared" si="4"/>
        <v>----</v>
      </c>
      <c r="CD37" s="26"/>
      <c r="CE37" s="60"/>
      <c r="CF37" s="26"/>
      <c r="CG37" s="60"/>
      <c r="CH37" s="27"/>
      <c r="CI37" s="7"/>
      <c r="CJ37" s="7"/>
      <c r="CL37" s="85" t="s">
        <v>526</v>
      </c>
      <c r="CM37" s="60"/>
      <c r="CN37" s="60"/>
      <c r="CO37" s="203">
        <v>-11.6782</v>
      </c>
      <c r="CP37" s="202">
        <f>+Q174/100</f>
        <v>0</v>
      </c>
      <c r="CQ37" s="181">
        <f>+CP37*CO37</f>
        <v>0</v>
      </c>
      <c r="CR37" s="202">
        <f>+R174/100</f>
        <v>0</v>
      </c>
      <c r="CS37" s="181">
        <f>+CR37*CO37</f>
        <v>0</v>
      </c>
      <c r="CT37" s="202">
        <f>+S174/100</f>
        <v>0</v>
      </c>
      <c r="CU37" s="239">
        <f>+CT37*CO37</f>
        <v>0</v>
      </c>
      <c r="CV37" s="191" t="s">
        <v>231</v>
      </c>
      <c r="CX37" s="90" t="s">
        <v>500</v>
      </c>
      <c r="CY37" s="91"/>
      <c r="CZ37" s="91"/>
      <c r="DA37" s="91"/>
      <c r="DB37" s="279">
        <f>+(DB46*2.5)/R10*12-(R84+R86+R91)</f>
        <v>-29311.022500000017</v>
      </c>
      <c r="DC37" s="280"/>
      <c r="DD37" s="279">
        <f>+(DD46*2.5)/S10*12-(S84+S86+S91)</f>
        <v>13521.214999999986</v>
      </c>
      <c r="DE37" s="280"/>
      <c r="DF37" s="279">
        <f>+(DF46*2.5)/T10*12-(T84+T86+T91)</f>
        <v>14090.767500000009</v>
      </c>
      <c r="DG37" s="258"/>
      <c r="DH37" s="58" t="s">
        <v>231</v>
      </c>
      <c r="DJ37" s="369" t="s">
        <v>622</v>
      </c>
      <c r="DK37" s="463" t="s">
        <v>623</v>
      </c>
      <c r="DL37" s="369" t="s">
        <v>564</v>
      </c>
      <c r="DM37" s="369" t="s">
        <v>565</v>
      </c>
      <c r="DN37" s="369" t="s">
        <v>566</v>
      </c>
      <c r="DO37" s="462" t="s">
        <v>567</v>
      </c>
      <c r="DQ37" s="58" t="s">
        <v>231</v>
      </c>
    </row>
    <row r="38" spans="2:121" ht="19.5" customHeight="1" thickBot="1">
      <c r="B38" s="65" t="s">
        <v>2347</v>
      </c>
      <c r="D38" s="140" t="s">
        <v>62</v>
      </c>
      <c r="F38" s="405">
        <v>14357001</v>
      </c>
      <c r="G38" s="378">
        <v>12070978</v>
      </c>
      <c r="H38" s="406">
        <v>9826127</v>
      </c>
      <c r="I38" s="119" t="s">
        <v>231</v>
      </c>
      <c r="J38" s="33">
        <f t="shared" si="40"/>
        <v>14357.001</v>
      </c>
      <c r="K38" s="33">
        <f t="shared" si="40"/>
        <v>12070.978</v>
      </c>
      <c r="L38" s="33">
        <f t="shared" si="40"/>
        <v>9826.127</v>
      </c>
      <c r="M38" s="58" t="s">
        <v>231</v>
      </c>
      <c r="N38" s="55" t="s">
        <v>1</v>
      </c>
      <c r="O38" s="55" t="s">
        <v>384</v>
      </c>
      <c r="Q38" s="55" t="s">
        <v>93</v>
      </c>
      <c r="R38" s="2">
        <f>(J41-J42-J43-J45)</f>
        <v>2743.2000000000007</v>
      </c>
      <c r="S38" s="2">
        <f>(K41-K42-K43-K45)</f>
        <v>3737.5149999999994</v>
      </c>
      <c r="T38" s="2">
        <f>(L41-L42-L43-L45)</f>
        <v>6395.248</v>
      </c>
      <c r="U38" s="55" t="s">
        <v>1</v>
      </c>
      <c r="V38" s="7"/>
      <c r="W38" s="7"/>
      <c r="BC38" s="484"/>
      <c r="BT38" s="68"/>
      <c r="BU38" s="26"/>
      <c r="BV38" s="60"/>
      <c r="BW38" s="28" t="s">
        <v>91</v>
      </c>
      <c r="BX38" s="26"/>
      <c r="BY38" s="73" t="str">
        <f t="shared" si="2"/>
        <v>----</v>
      </c>
      <c r="BZ38" s="73" t="s">
        <v>258</v>
      </c>
      <c r="CA38" s="73" t="str">
        <f t="shared" si="3"/>
        <v>----</v>
      </c>
      <c r="CB38" s="73" t="s">
        <v>258</v>
      </c>
      <c r="CC38" s="73" t="str">
        <f t="shared" si="4"/>
        <v>----</v>
      </c>
      <c r="CD38" s="26"/>
      <c r="CE38" s="60"/>
      <c r="CF38" s="26"/>
      <c r="CG38" s="60"/>
      <c r="CH38" s="27"/>
      <c r="CI38" s="7"/>
      <c r="CJ38" s="7"/>
      <c r="CL38" s="85" t="s">
        <v>527</v>
      </c>
      <c r="CM38" s="60"/>
      <c r="CN38" s="60"/>
      <c r="CO38" s="203">
        <v>3.1676</v>
      </c>
      <c r="CP38" s="202">
        <f>+Q175/100</f>
        <v>0.07354889640138673</v>
      </c>
      <c r="CQ38" s="181">
        <f>+CP38*CO38</f>
        <v>0.23297348424103262</v>
      </c>
      <c r="CR38" s="202">
        <f>+R175/100</f>
        <v>0.04573270601464516</v>
      </c>
      <c r="CS38" s="181">
        <f>+CR38*CO38</f>
        <v>0.14486291957199002</v>
      </c>
      <c r="CT38" s="202">
        <f>+S175/100</f>
        <v>0.11568826599583025</v>
      </c>
      <c r="CU38" s="239">
        <f>+CT38*CO38</f>
        <v>0.36645415136839193</v>
      </c>
      <c r="CV38" s="191" t="s">
        <v>231</v>
      </c>
      <c r="DJ38" s="369" t="s">
        <v>624</v>
      </c>
      <c r="DK38" s="461" t="s">
        <v>625</v>
      </c>
      <c r="DL38" s="369" t="s">
        <v>564</v>
      </c>
      <c r="DM38" s="369" t="s">
        <v>565</v>
      </c>
      <c r="DN38" s="369" t="s">
        <v>566</v>
      </c>
      <c r="DO38" s="462" t="s">
        <v>567</v>
      </c>
      <c r="DQ38" s="58" t="s">
        <v>231</v>
      </c>
    </row>
    <row r="39" spans="2:121" ht="19.5" customHeight="1">
      <c r="B39" s="65" t="s">
        <v>2348</v>
      </c>
      <c r="D39" s="140" t="s">
        <v>64</v>
      </c>
      <c r="F39" s="405">
        <v>0</v>
      </c>
      <c r="G39" s="378">
        <v>0</v>
      </c>
      <c r="H39" s="406">
        <v>0</v>
      </c>
      <c r="I39" s="119" t="s">
        <v>231</v>
      </c>
      <c r="J39" s="33">
        <f t="shared" si="40"/>
        <v>0</v>
      </c>
      <c r="K39" s="33">
        <f t="shared" si="40"/>
        <v>0</v>
      </c>
      <c r="L39" s="33">
        <f t="shared" si="40"/>
        <v>0</v>
      </c>
      <c r="M39" s="58" t="s">
        <v>231</v>
      </c>
      <c r="N39" s="55" t="s">
        <v>1</v>
      </c>
      <c r="O39" s="55" t="s">
        <v>379</v>
      </c>
      <c r="Q39" s="55" t="s">
        <v>79</v>
      </c>
      <c r="R39" s="2">
        <f>J46</f>
        <v>665.829</v>
      </c>
      <c r="S39" s="2">
        <f>K46</f>
        <v>686.871</v>
      </c>
      <c r="T39" s="2">
        <f>L46</f>
        <v>869.842</v>
      </c>
      <c r="U39" s="55" t="s">
        <v>1</v>
      </c>
      <c r="V39" s="7"/>
      <c r="W39" s="7"/>
      <c r="AF39" s="482"/>
      <c r="AR39" s="55" t="s">
        <v>90</v>
      </c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T39" s="68"/>
      <c r="BU39" s="26" t="s">
        <v>29</v>
      </c>
      <c r="BV39" s="60"/>
      <c r="BW39" s="28"/>
      <c r="BX39" s="26"/>
      <c r="BY39" s="73" t="str">
        <f t="shared" si="2"/>
        <v>----</v>
      </c>
      <c r="BZ39" s="73" t="s">
        <v>258</v>
      </c>
      <c r="CA39" s="73" t="str">
        <f t="shared" si="3"/>
        <v>----</v>
      </c>
      <c r="CB39" s="73" t="s">
        <v>258</v>
      </c>
      <c r="CC39" s="73" t="str">
        <f t="shared" si="4"/>
        <v>----</v>
      </c>
      <c r="CD39" s="26"/>
      <c r="CE39" s="60"/>
      <c r="CF39" s="26"/>
      <c r="CG39" s="60"/>
      <c r="CH39" s="27"/>
      <c r="CI39" s="7"/>
      <c r="CJ39" s="7"/>
      <c r="CL39" s="85" t="s">
        <v>528</v>
      </c>
      <c r="CM39" s="60"/>
      <c r="CN39" s="60"/>
      <c r="CO39" s="203">
        <v>-1.62</v>
      </c>
      <c r="CP39" s="202">
        <f>+Q176/100</f>
        <v>0.11145993552287928</v>
      </c>
      <c r="CQ39" s="181">
        <f>+CP39*CO39</f>
        <v>-0.18056509554706443</v>
      </c>
      <c r="CR39" s="202">
        <f>+R176/100</f>
        <v>0.08226576467779158</v>
      </c>
      <c r="CS39" s="181">
        <f>+CR39*CO39</f>
        <v>-0.13327053877802236</v>
      </c>
      <c r="CT39" s="202">
        <f>+S176/100</f>
        <v>0.0755362175296869</v>
      </c>
      <c r="CU39" s="239">
        <f>+CT39*CO39</f>
        <v>-0.12236867239809278</v>
      </c>
      <c r="CV39" s="191" t="s">
        <v>231</v>
      </c>
      <c r="CX39" s="244" t="s">
        <v>474</v>
      </c>
      <c r="CY39" s="83"/>
      <c r="CZ39" s="83"/>
      <c r="DA39" s="226" t="s">
        <v>440</v>
      </c>
      <c r="DB39" s="285" t="str">
        <f>+FIXED(R7,0,TRUE)&amp;+"  ["&amp;+FIXED(R10,0,TRUE)&amp;+"]"</f>
        <v>2020  [12]</v>
      </c>
      <c r="DC39" s="206"/>
      <c r="DD39" s="285" t="str">
        <f>+FIXED(S7,0,TRUE)&amp;+"  ["&amp;+FIXED(S10,0,TRUE)&amp;+"]"</f>
        <v>2021  [12]</v>
      </c>
      <c r="DE39" s="206"/>
      <c r="DF39" s="285" t="str">
        <f>+FIXED(T7,0,TRUE)&amp;+"  ["&amp;+FIXED(T10,0,TRUE)&amp;+"]"</f>
        <v>2022  [12]</v>
      </c>
      <c r="DG39" s="84"/>
      <c r="DH39" s="58" t="s">
        <v>231</v>
      </c>
      <c r="DJ39" s="369" t="s">
        <v>626</v>
      </c>
      <c r="DK39" s="461" t="s">
        <v>627</v>
      </c>
      <c r="DL39" s="369" t="s">
        <v>564</v>
      </c>
      <c r="DM39" s="369" t="s">
        <v>565</v>
      </c>
      <c r="DN39" s="369" t="s">
        <v>566</v>
      </c>
      <c r="DO39" s="462" t="s">
        <v>567</v>
      </c>
      <c r="DQ39" s="58" t="s">
        <v>231</v>
      </c>
    </row>
    <row r="40" spans="3:121" ht="19.5" customHeight="1" thickBot="1">
      <c r="C40" s="137" t="s">
        <v>357</v>
      </c>
      <c r="D40" s="445" t="s">
        <v>354</v>
      </c>
      <c r="F40" s="405">
        <v>0</v>
      </c>
      <c r="G40" s="378">
        <v>0</v>
      </c>
      <c r="H40" s="406">
        <v>0</v>
      </c>
      <c r="J40" s="33">
        <f t="shared" si="40"/>
        <v>0</v>
      </c>
      <c r="K40" s="33">
        <f t="shared" si="40"/>
        <v>0</v>
      </c>
      <c r="L40" s="33">
        <f t="shared" si="40"/>
        <v>0</v>
      </c>
      <c r="M40" s="58" t="s">
        <v>231</v>
      </c>
      <c r="N40" s="55" t="s">
        <v>1</v>
      </c>
      <c r="U40" s="55" t="s">
        <v>1</v>
      </c>
      <c r="V40" s="7"/>
      <c r="W40" s="7"/>
      <c r="BM40" s="481"/>
      <c r="BN40" s="7"/>
      <c r="BO40" s="7"/>
      <c r="BP40" s="7"/>
      <c r="BQ40" s="7"/>
      <c r="BT40" s="68"/>
      <c r="BU40" s="26"/>
      <c r="BV40" s="60"/>
      <c r="BW40" s="28" t="s">
        <v>94</v>
      </c>
      <c r="BX40" s="26"/>
      <c r="BY40" s="73" t="str">
        <f t="shared" si="2"/>
        <v>----</v>
      </c>
      <c r="BZ40" s="73" t="s">
        <v>258</v>
      </c>
      <c r="CA40" s="73" t="str">
        <f t="shared" si="3"/>
        <v>----</v>
      </c>
      <c r="CB40" s="73" t="s">
        <v>258</v>
      </c>
      <c r="CC40" s="73" t="str">
        <f t="shared" si="4"/>
        <v>----</v>
      </c>
      <c r="CD40" s="26"/>
      <c r="CE40" s="60"/>
      <c r="CF40" s="26" t="s">
        <v>95</v>
      </c>
      <c r="CG40" s="60"/>
      <c r="CH40" s="27"/>
      <c r="CI40" s="7"/>
      <c r="CJ40" s="7"/>
      <c r="CL40" s="85" t="s">
        <v>529</v>
      </c>
      <c r="CM40" s="60"/>
      <c r="CN40" s="60"/>
      <c r="CO40" s="203">
        <v>-0.8353</v>
      </c>
      <c r="CP40" s="202">
        <f>+Q177/100</f>
        <v>0</v>
      </c>
      <c r="CQ40" s="181">
        <f>+CP40*CO40</f>
        <v>0</v>
      </c>
      <c r="CR40" s="202">
        <f>+R177/100</f>
        <v>0</v>
      </c>
      <c r="CS40" s="181">
        <f>+CR40*CO40</f>
        <v>0</v>
      </c>
      <c r="CT40" s="202">
        <f>+S177/100</f>
        <v>0</v>
      </c>
      <c r="CU40" s="239">
        <f>+CT40*CO40</f>
        <v>0</v>
      </c>
      <c r="CV40" s="191" t="s">
        <v>231</v>
      </c>
      <c r="CX40" s="85" t="s">
        <v>476</v>
      </c>
      <c r="CY40" s="60"/>
      <c r="CZ40" s="60"/>
      <c r="DA40" s="195"/>
      <c r="DB40" s="271">
        <f>+R61</f>
        <v>-10519.816000000008</v>
      </c>
      <c r="DC40" s="186"/>
      <c r="DD40" s="271">
        <f>+S61</f>
        <v>2734.004</v>
      </c>
      <c r="DE40" s="186"/>
      <c r="DF40" s="271">
        <f>+T61</f>
        <v>6943.608999999999</v>
      </c>
      <c r="DG40" s="255"/>
      <c r="DH40" s="58"/>
      <c r="DJ40" s="369" t="s">
        <v>628</v>
      </c>
      <c r="DK40" s="461" t="s">
        <v>629</v>
      </c>
      <c r="DL40" s="369" t="s">
        <v>564</v>
      </c>
      <c r="DM40" s="369" t="s">
        <v>630</v>
      </c>
      <c r="DN40" s="369" t="s">
        <v>631</v>
      </c>
      <c r="DO40" s="462" t="s">
        <v>632</v>
      </c>
      <c r="DQ40" s="58" t="s">
        <v>231</v>
      </c>
    </row>
    <row r="41" spans="2:121" ht="19.5" customHeight="1" thickTop="1">
      <c r="B41" s="65" t="s">
        <v>2349</v>
      </c>
      <c r="D41" s="140" t="s">
        <v>67</v>
      </c>
      <c r="F41" s="405">
        <v>22828182</v>
      </c>
      <c r="G41" s="378">
        <v>23050118</v>
      </c>
      <c r="H41" s="406">
        <v>39221027</v>
      </c>
      <c r="I41" s="119" t="s">
        <v>231</v>
      </c>
      <c r="J41" s="33">
        <f aca="true" t="shared" si="43" ref="J41:L46">+F41/1000</f>
        <v>22828.182</v>
      </c>
      <c r="K41" s="33">
        <f t="shared" si="43"/>
        <v>23050.118</v>
      </c>
      <c r="L41" s="33">
        <f t="shared" si="43"/>
        <v>39221.027</v>
      </c>
      <c r="M41" s="58" t="s">
        <v>231</v>
      </c>
      <c r="N41" s="55" t="s">
        <v>1</v>
      </c>
      <c r="O41" s="62" t="s">
        <v>404</v>
      </c>
      <c r="Q41" s="55" t="s">
        <v>7</v>
      </c>
      <c r="R41" s="2">
        <f>SUM(R30:R39)</f>
        <v>73141.541</v>
      </c>
      <c r="S41" s="2">
        <f>SUM(S30:S39)</f>
        <v>73026.26</v>
      </c>
      <c r="T41" s="2">
        <f>SUM(T30:T39)</f>
        <v>90727.791</v>
      </c>
      <c r="U41" s="55" t="s">
        <v>1</v>
      </c>
      <c r="V41" s="7"/>
      <c r="W41" s="7"/>
      <c r="AD41" s="525" t="s">
        <v>2384</v>
      </c>
      <c r="AE41" s="526"/>
      <c r="AF41" s="526"/>
      <c r="AG41" s="526"/>
      <c r="AH41" s="526"/>
      <c r="AI41" s="526"/>
      <c r="AJ41" s="526"/>
      <c r="AK41" s="526"/>
      <c r="AL41" s="526"/>
      <c r="AM41" s="527"/>
      <c r="AN41" s="528"/>
      <c r="AO41" s="529"/>
      <c r="AP41" s="529"/>
      <c r="AQ41" s="529"/>
      <c r="AR41" s="529"/>
      <c r="AS41" s="529"/>
      <c r="AT41" s="530"/>
      <c r="AU41" s="510">
        <f>+J15</f>
        <v>44196</v>
      </c>
      <c r="AV41" s="511"/>
      <c r="AW41" s="511"/>
      <c r="AX41" s="511"/>
      <c r="AY41" s="523" t="str">
        <f>"("&amp;+FIXED(J16,1,TRUE)&amp;+")"</f>
        <v>(12,0)</v>
      </c>
      <c r="AZ41" s="523"/>
      <c r="BA41" s="524"/>
      <c r="BB41" s="510">
        <f>+K15</f>
        <v>44561</v>
      </c>
      <c r="BC41" s="511"/>
      <c r="BD41" s="511"/>
      <c r="BE41" s="511"/>
      <c r="BF41" s="523" t="str">
        <f>"("&amp;+FIXED(K16,1,TRUE)&amp;+")"</f>
        <v>(12,0)</v>
      </c>
      <c r="BG41" s="523"/>
      <c r="BH41" s="524"/>
      <c r="BI41" s="510">
        <f>+L15</f>
        <v>44926</v>
      </c>
      <c r="BJ41" s="511"/>
      <c r="BK41" s="511"/>
      <c r="BL41" s="511"/>
      <c r="BM41" s="523" t="str">
        <f>"("&amp;+FIXED(L16,1,TRUE)&amp;+")"</f>
        <v>(12,0)</v>
      </c>
      <c r="BN41" s="523"/>
      <c r="BO41" s="524"/>
      <c r="BP41" s="7"/>
      <c r="BQ41" s="7"/>
      <c r="BT41" s="68"/>
      <c r="BU41" s="26" t="s">
        <v>36</v>
      </c>
      <c r="BV41" s="60"/>
      <c r="BW41" s="28"/>
      <c r="BX41" s="26"/>
      <c r="BY41" s="73" t="str">
        <f t="shared" si="2"/>
        <v>----</v>
      </c>
      <c r="BZ41" s="73" t="s">
        <v>258</v>
      </c>
      <c r="CA41" s="73" t="str">
        <f t="shared" si="3"/>
        <v>----</v>
      </c>
      <c r="CB41" s="73" t="s">
        <v>258</v>
      </c>
      <c r="CC41" s="73" t="str">
        <f t="shared" si="4"/>
        <v>----</v>
      </c>
      <c r="CD41" s="26"/>
      <c r="CE41" s="60"/>
      <c r="CF41" s="26"/>
      <c r="CG41" s="60"/>
      <c r="CH41" s="27"/>
      <c r="CI41" s="7"/>
      <c r="CJ41" s="7"/>
      <c r="CL41" s="85" t="s">
        <v>453</v>
      </c>
      <c r="CM41" s="60"/>
      <c r="CN41" s="60"/>
      <c r="CO41" s="203">
        <v>23.24</v>
      </c>
      <c r="CP41" s="180"/>
      <c r="CQ41" s="181">
        <f>+$CO$41/100</f>
        <v>0.2324</v>
      </c>
      <c r="CR41" s="180"/>
      <c r="CS41" s="181">
        <f>+$CO$41/100</f>
        <v>0.2324</v>
      </c>
      <c r="CT41" s="180"/>
      <c r="CU41" s="239">
        <f>+$CO$41/100</f>
        <v>0.2324</v>
      </c>
      <c r="CV41" s="191" t="s">
        <v>231</v>
      </c>
      <c r="CX41" s="85" t="s">
        <v>475</v>
      </c>
      <c r="CY41" s="60"/>
      <c r="CZ41" s="60"/>
      <c r="DA41" s="195"/>
      <c r="DB41" s="271">
        <f>+R61+J58</f>
        <v>-8794.975000000008</v>
      </c>
      <c r="DC41" s="183"/>
      <c r="DD41" s="271">
        <f>+S61+K58</f>
        <v>3949.9309999999996</v>
      </c>
      <c r="DE41" s="183"/>
      <c r="DF41" s="271">
        <f>+T61+L58</f>
        <v>8057.925999999999</v>
      </c>
      <c r="DG41" s="255"/>
      <c r="DH41" s="58" t="s">
        <v>231</v>
      </c>
      <c r="DJ41" s="369" t="s">
        <v>633</v>
      </c>
      <c r="DK41" s="461" t="s">
        <v>634</v>
      </c>
      <c r="DL41" s="369" t="s">
        <v>564</v>
      </c>
      <c r="DM41" s="369" t="s">
        <v>630</v>
      </c>
      <c r="DN41" s="369" t="s">
        <v>631</v>
      </c>
      <c r="DO41" s="462" t="s">
        <v>632</v>
      </c>
      <c r="DQ41" s="58" t="s">
        <v>231</v>
      </c>
    </row>
    <row r="42" spans="3:121" ht="19.5" customHeight="1" thickBot="1">
      <c r="C42" s="137" t="s">
        <v>247</v>
      </c>
      <c r="D42" s="140" t="s">
        <v>70</v>
      </c>
      <c r="F42" s="405">
        <v>0</v>
      </c>
      <c r="G42" s="378">
        <v>0</v>
      </c>
      <c r="H42" s="406">
        <v>0</v>
      </c>
      <c r="I42" s="119" t="s">
        <v>231</v>
      </c>
      <c r="J42" s="33">
        <f t="shared" si="43"/>
        <v>0</v>
      </c>
      <c r="K42" s="33">
        <f t="shared" si="43"/>
        <v>0</v>
      </c>
      <c r="L42" s="33">
        <f t="shared" si="43"/>
        <v>0</v>
      </c>
      <c r="M42" s="58" t="s">
        <v>231</v>
      </c>
      <c r="N42" s="55" t="s">
        <v>1</v>
      </c>
      <c r="U42" s="55" t="s">
        <v>1</v>
      </c>
      <c r="V42" s="7"/>
      <c r="W42" s="7"/>
      <c r="AD42" s="520" t="s">
        <v>259</v>
      </c>
      <c r="AE42" s="521"/>
      <c r="AF42" s="521"/>
      <c r="AG42" s="521"/>
      <c r="AH42" s="521"/>
      <c r="AI42" s="521"/>
      <c r="AJ42" s="521"/>
      <c r="AK42" s="521"/>
      <c r="AL42" s="521"/>
      <c r="AM42" s="522"/>
      <c r="AN42" s="18"/>
      <c r="AO42" s="512" t="s">
        <v>2377</v>
      </c>
      <c r="AP42" s="512"/>
      <c r="AQ42" s="512"/>
      <c r="AR42" s="512"/>
      <c r="AS42" s="512"/>
      <c r="AT42" s="22"/>
      <c r="AU42" s="18"/>
      <c r="AV42" s="60"/>
      <c r="AW42" s="513" t="str">
        <f>FIXED($R$7,0,TRUE)</f>
        <v>2020</v>
      </c>
      <c r="AX42" s="513"/>
      <c r="AY42" s="513"/>
      <c r="AZ42" s="60"/>
      <c r="BA42" s="69"/>
      <c r="BB42" s="18"/>
      <c r="BC42" s="60"/>
      <c r="BD42" s="513" t="str">
        <f>FIXED($S$7,0,TRUE)</f>
        <v>2021</v>
      </c>
      <c r="BE42" s="513"/>
      <c r="BF42" s="513"/>
      <c r="BG42" s="12"/>
      <c r="BH42" s="22"/>
      <c r="BI42" s="68"/>
      <c r="BK42" s="513" t="str">
        <f>FIXED($T$7,0,TRUE)</f>
        <v>2022</v>
      </c>
      <c r="BL42" s="513"/>
      <c r="BM42" s="513"/>
      <c r="BN42" s="12"/>
      <c r="BO42" s="22"/>
      <c r="BP42" s="7"/>
      <c r="BT42" s="68"/>
      <c r="BU42" s="26"/>
      <c r="BV42" s="60"/>
      <c r="BW42" s="28" t="s">
        <v>96</v>
      </c>
      <c r="BX42" s="26"/>
      <c r="BY42" s="73" t="str">
        <f t="shared" si="2"/>
        <v>----</v>
      </c>
      <c r="BZ42" s="73" t="s">
        <v>258</v>
      </c>
      <c r="CA42" s="73" t="str">
        <f t="shared" si="3"/>
        <v>----</v>
      </c>
      <c r="CB42" s="73" t="s">
        <v>258</v>
      </c>
      <c r="CC42" s="73" t="str">
        <f t="shared" si="4"/>
        <v>----</v>
      </c>
      <c r="CD42" s="26"/>
      <c r="CE42" s="60"/>
      <c r="CF42" s="26"/>
      <c r="CG42" s="60"/>
      <c r="CH42" s="27"/>
      <c r="CI42" s="7"/>
      <c r="CJ42" s="7"/>
      <c r="CL42" s="240" t="s">
        <v>487</v>
      </c>
      <c r="CM42" s="91"/>
      <c r="CN42" s="91"/>
      <c r="CO42" s="241" t="s">
        <v>443</v>
      </c>
      <c r="CP42" s="242">
        <f>SUM(CQ36:CQ41)</f>
        <v>2.279785656277106</v>
      </c>
      <c r="CQ42" s="243"/>
      <c r="CR42" s="242">
        <f>SUM(CS36:CS41)</f>
        <v>2.3588380406812473</v>
      </c>
      <c r="CS42" s="243"/>
      <c r="CT42" s="242">
        <f>SUM(CU36:CU41)</f>
        <v>2.3513977914876407</v>
      </c>
      <c r="CU42" s="92"/>
      <c r="CV42" s="58" t="s">
        <v>231</v>
      </c>
      <c r="CX42" s="85" t="s">
        <v>477</v>
      </c>
      <c r="CY42" s="60"/>
      <c r="CZ42" s="60"/>
      <c r="DA42" s="195"/>
      <c r="DB42" s="271">
        <f>+R66+R56-R79</f>
        <v>-9540.551000000007</v>
      </c>
      <c r="DC42" s="183"/>
      <c r="DD42" s="271">
        <f>+S66+S56-S79</f>
        <v>5398.1939999999995</v>
      </c>
      <c r="DE42" s="183"/>
      <c r="DF42" s="271">
        <f>+T66+T56-T79</f>
        <v>4951.573999999999</v>
      </c>
      <c r="DG42" s="255"/>
      <c r="DH42" s="58" t="s">
        <v>231</v>
      </c>
      <c r="DJ42" s="369" t="s">
        <v>635</v>
      </c>
      <c r="DK42" s="461" t="s">
        <v>636</v>
      </c>
      <c r="DL42" s="369" t="s">
        <v>564</v>
      </c>
      <c r="DM42" s="369" t="s">
        <v>630</v>
      </c>
      <c r="DN42" s="369" t="s">
        <v>631</v>
      </c>
      <c r="DO42" s="462" t="s">
        <v>632</v>
      </c>
      <c r="DQ42" s="58" t="s">
        <v>231</v>
      </c>
    </row>
    <row r="43" spans="3:121" ht="19.5" customHeight="1" thickBot="1">
      <c r="C43" s="137" t="s">
        <v>358</v>
      </c>
      <c r="D43" s="140" t="s">
        <v>72</v>
      </c>
      <c r="F43" s="405">
        <v>5500000</v>
      </c>
      <c r="G43" s="378">
        <v>0</v>
      </c>
      <c r="H43" s="406">
        <v>0</v>
      </c>
      <c r="I43" s="119" t="s">
        <v>231</v>
      </c>
      <c r="J43" s="33">
        <f t="shared" si="43"/>
        <v>5500</v>
      </c>
      <c r="K43" s="33">
        <f t="shared" si="43"/>
        <v>0</v>
      </c>
      <c r="L43" s="33">
        <f t="shared" si="43"/>
        <v>0</v>
      </c>
      <c r="M43" s="58" t="s">
        <v>231</v>
      </c>
      <c r="N43" s="55" t="s">
        <v>1</v>
      </c>
      <c r="O43" s="59" t="s">
        <v>0</v>
      </c>
      <c r="P43" s="59" t="s">
        <v>0</v>
      </c>
      <c r="Q43" s="59" t="s">
        <v>0</v>
      </c>
      <c r="R43" s="59" t="s">
        <v>0</v>
      </c>
      <c r="S43" s="59" t="s">
        <v>0</v>
      </c>
      <c r="T43" s="59" t="s">
        <v>0</v>
      </c>
      <c r="U43" s="55" t="s">
        <v>1</v>
      </c>
      <c r="V43" s="7"/>
      <c r="W43" s="7"/>
      <c r="AD43" s="534" t="s">
        <v>2385</v>
      </c>
      <c r="AE43" s="535"/>
      <c r="AF43" s="535"/>
      <c r="AG43" s="535"/>
      <c r="AH43" s="535"/>
      <c r="AI43" s="535"/>
      <c r="AJ43" s="535"/>
      <c r="AK43" s="535"/>
      <c r="AL43" s="535"/>
      <c r="AM43" s="536"/>
      <c r="AN43" s="507"/>
      <c r="AO43" s="508"/>
      <c r="AP43" s="508"/>
      <c r="AQ43" s="508"/>
      <c r="AR43" s="508"/>
      <c r="AS43" s="508"/>
      <c r="AT43" s="509"/>
      <c r="AU43" s="518">
        <f>+J17</f>
        <v>44344</v>
      </c>
      <c r="AV43" s="519"/>
      <c r="AW43" s="519"/>
      <c r="AX43" s="519"/>
      <c r="AY43" s="505" t="str">
        <f>"("&amp;+FIXED(J18,1,TRUE)&amp;+")"</f>
        <v>(4,9)</v>
      </c>
      <c r="AZ43" s="505"/>
      <c r="BA43" s="506"/>
      <c r="BB43" s="518">
        <f>+K17</f>
        <v>44708</v>
      </c>
      <c r="BC43" s="519"/>
      <c r="BD43" s="519"/>
      <c r="BE43" s="519"/>
      <c r="BF43" s="505" t="str">
        <f>"("&amp;+FIXED(K18,1,TRUE)&amp;+")"</f>
        <v>(4,8)</v>
      </c>
      <c r="BG43" s="505"/>
      <c r="BH43" s="506"/>
      <c r="BI43" s="516">
        <f>+L17</f>
        <v>45072</v>
      </c>
      <c r="BJ43" s="517"/>
      <c r="BK43" s="517"/>
      <c r="BL43" s="517"/>
      <c r="BM43" s="514" t="str">
        <f>"("&amp;+FIXED(L18,1,TRUE)&amp;+")"</f>
        <v>(4,8)</v>
      </c>
      <c r="BN43" s="514"/>
      <c r="BO43" s="515"/>
      <c r="BP43" s="7"/>
      <c r="BQ43" s="7"/>
      <c r="BT43" s="68"/>
      <c r="BU43" s="26" t="s">
        <v>41</v>
      </c>
      <c r="BV43" s="60"/>
      <c r="BW43" s="28"/>
      <c r="BX43" s="26"/>
      <c r="BY43" s="73" t="str">
        <f t="shared" si="2"/>
        <v>----</v>
      </c>
      <c r="BZ43" s="73" t="s">
        <v>258</v>
      </c>
      <c r="CA43" s="73" t="str">
        <f t="shared" si="3"/>
        <v>----</v>
      </c>
      <c r="CB43" s="73" t="s">
        <v>258</v>
      </c>
      <c r="CC43" s="73" t="str">
        <f t="shared" si="4"/>
        <v>----</v>
      </c>
      <c r="CD43" s="26"/>
      <c r="CE43" s="60"/>
      <c r="CF43" s="26"/>
      <c r="CG43" s="60"/>
      <c r="CH43" s="27"/>
      <c r="CI43" s="7"/>
      <c r="CJ43" s="7"/>
      <c r="CX43" s="85" t="s">
        <v>549</v>
      </c>
      <c r="CY43" s="60"/>
      <c r="CZ43" s="60"/>
      <c r="DA43" s="198">
        <f>100/((R164*R169)/(100-R169))</f>
        <v>6.6590352399591355</v>
      </c>
      <c r="DB43" s="281">
        <f>100/((Q148*Q153)/(100-Q153))</f>
        <v>-3.9673821774025386</v>
      </c>
      <c r="DC43" s="282" t="s">
        <v>478</v>
      </c>
      <c r="DD43" s="281">
        <f>100/((R148*R153)/(100-R153))</f>
        <v>6.63332347818548</v>
      </c>
      <c r="DE43" s="282" t="s">
        <v>478</v>
      </c>
      <c r="DF43" s="281">
        <f>100/((S148*S153)/(100-S153))</f>
        <v>10.0810360503549</v>
      </c>
      <c r="DG43" s="283" t="s">
        <v>478</v>
      </c>
      <c r="DH43" s="58" t="s">
        <v>231</v>
      </c>
      <c r="DJ43" s="369" t="s">
        <v>637</v>
      </c>
      <c r="DK43" s="461" t="s">
        <v>638</v>
      </c>
      <c r="DL43" s="369" t="s">
        <v>564</v>
      </c>
      <c r="DM43" s="369" t="s">
        <v>630</v>
      </c>
      <c r="DN43" s="369" t="s">
        <v>631</v>
      </c>
      <c r="DO43" s="462" t="s">
        <v>632</v>
      </c>
      <c r="DQ43" s="58" t="s">
        <v>231</v>
      </c>
    </row>
    <row r="44" spans="3:136" ht="19.5" customHeight="1" thickTop="1">
      <c r="C44" s="137" t="s">
        <v>2350</v>
      </c>
      <c r="D44" s="445" t="s">
        <v>40</v>
      </c>
      <c r="F44" s="405">
        <v>0</v>
      </c>
      <c r="G44" s="378">
        <v>0</v>
      </c>
      <c r="H44" s="406">
        <v>0</v>
      </c>
      <c r="I44" s="119" t="s">
        <v>231</v>
      </c>
      <c r="J44" s="33">
        <f t="shared" si="43"/>
        <v>0</v>
      </c>
      <c r="K44" s="33">
        <f t="shared" si="43"/>
        <v>0</v>
      </c>
      <c r="L44" s="33">
        <f t="shared" si="43"/>
        <v>0</v>
      </c>
      <c r="M44" s="58" t="s">
        <v>231</v>
      </c>
      <c r="N44" s="55" t="s">
        <v>1</v>
      </c>
      <c r="O44" s="55" t="s">
        <v>335</v>
      </c>
      <c r="R44" s="55">
        <f>$R$7</f>
        <v>2020</v>
      </c>
      <c r="S44" s="55">
        <f>$S$7</f>
        <v>2021</v>
      </c>
      <c r="T44" s="55">
        <f>$T$7</f>
        <v>2022</v>
      </c>
      <c r="U44" s="55" t="s">
        <v>1</v>
      </c>
      <c r="V44" s="7"/>
      <c r="W44" s="7"/>
      <c r="AD44" s="540" t="s">
        <v>260</v>
      </c>
      <c r="AE44" s="541"/>
      <c r="AF44" s="541"/>
      <c r="AG44" s="541"/>
      <c r="AH44" s="541"/>
      <c r="AI44" s="541"/>
      <c r="AJ44" s="541"/>
      <c r="AK44" s="541"/>
      <c r="AL44" s="541"/>
      <c r="AM44" s="542"/>
      <c r="AN44" s="18"/>
      <c r="AO44" s="60"/>
      <c r="AP44" s="12" t="str">
        <f>FIXED($R$165,1,TRUE)</f>
        <v>5,0</v>
      </c>
      <c r="AQ44" s="60"/>
      <c r="AR44" s="60"/>
      <c r="AS44" s="60" t="s">
        <v>98</v>
      </c>
      <c r="AT44" s="22"/>
      <c r="AU44" s="18"/>
      <c r="AV44" s="60"/>
      <c r="AW44" s="13" t="str">
        <f>FIXED($Q$149,1,TRUE)</f>
        <v>-13,0</v>
      </c>
      <c r="AX44" s="60"/>
      <c r="AY44" s="60"/>
      <c r="AZ44" s="60" t="s">
        <v>98</v>
      </c>
      <c r="BA44" s="69"/>
      <c r="BB44" s="18"/>
      <c r="BC44" s="60"/>
      <c r="BD44" s="13" t="str">
        <f>FIXED($R$149,1,TRUE)</f>
        <v>3,8</v>
      </c>
      <c r="BE44" s="60"/>
      <c r="BF44" s="12"/>
      <c r="BG44" s="60" t="s">
        <v>98</v>
      </c>
      <c r="BH44" s="22"/>
      <c r="BI44" s="68"/>
      <c r="BK44" s="13" t="str">
        <f>FIXED($S$149,1,TRUE)</f>
        <v>7,6</v>
      </c>
      <c r="BL44" s="12"/>
      <c r="BN44" s="60" t="s">
        <v>98</v>
      </c>
      <c r="BO44" s="22"/>
      <c r="BP44" s="7"/>
      <c r="BQ44" s="7"/>
      <c r="BT44" s="68"/>
      <c r="BU44" s="60"/>
      <c r="BV44" s="60"/>
      <c r="BW44" s="28" t="s">
        <v>101</v>
      </c>
      <c r="BX44" s="26"/>
      <c r="BY44" s="73" t="str">
        <f t="shared" si="2"/>
        <v>----</v>
      </c>
      <c r="BZ44" s="73" t="s">
        <v>258</v>
      </c>
      <c r="CA44" s="73" t="str">
        <f t="shared" si="3"/>
        <v>----</v>
      </c>
      <c r="CB44" s="73" t="s">
        <v>258</v>
      </c>
      <c r="CC44" s="73" t="str">
        <f t="shared" si="4"/>
        <v>----</v>
      </c>
      <c r="CD44" s="26"/>
      <c r="CE44" s="26"/>
      <c r="CF44" s="26" t="s">
        <v>102</v>
      </c>
      <c r="CG44" s="60"/>
      <c r="CH44" s="27"/>
      <c r="CI44" s="7"/>
      <c r="CJ44" s="7"/>
      <c r="CL44" s="244" t="s">
        <v>450</v>
      </c>
      <c r="CM44" s="83"/>
      <c r="CN44" s="83"/>
      <c r="CO44" s="226" t="s">
        <v>440</v>
      </c>
      <c r="CP44" s="205">
        <f>+$R$7</f>
        <v>2020</v>
      </c>
      <c r="CQ44" s="206"/>
      <c r="CR44" s="205">
        <f>+$S$7</f>
        <v>2021</v>
      </c>
      <c r="CS44" s="206"/>
      <c r="CT44" s="205">
        <f>+$T$7</f>
        <v>2022</v>
      </c>
      <c r="CU44" s="215"/>
      <c r="CV44" s="188" t="s">
        <v>231</v>
      </c>
      <c r="CX44" s="85" t="s">
        <v>484</v>
      </c>
      <c r="CY44" s="60"/>
      <c r="CZ44" s="60"/>
      <c r="DA44" s="196"/>
      <c r="DB44" s="271">
        <f>+R92+R93</f>
        <v>0</v>
      </c>
      <c r="DC44" s="183"/>
      <c r="DD44" s="271">
        <f>+S92+S93</f>
        <v>0</v>
      </c>
      <c r="DE44" s="183"/>
      <c r="DF44" s="271">
        <f>+T92+T93</f>
        <v>0</v>
      </c>
      <c r="DG44" s="255"/>
      <c r="DH44" s="58" t="s">
        <v>231</v>
      </c>
      <c r="DJ44" s="369" t="s">
        <v>639</v>
      </c>
      <c r="DK44" s="461" t="s">
        <v>640</v>
      </c>
      <c r="DL44" s="369" t="s">
        <v>564</v>
      </c>
      <c r="DM44" s="369" t="s">
        <v>641</v>
      </c>
      <c r="DN44" s="369" t="s">
        <v>642</v>
      </c>
      <c r="DO44" s="462" t="s">
        <v>643</v>
      </c>
      <c r="DQ44" s="58" t="s">
        <v>231</v>
      </c>
      <c r="EF44" s="3"/>
    </row>
    <row r="45" spans="3:136" ht="19.5" customHeight="1" thickBot="1">
      <c r="C45" s="137" t="s">
        <v>82</v>
      </c>
      <c r="D45" s="140" t="s">
        <v>76</v>
      </c>
      <c r="F45" s="405">
        <v>14584982</v>
      </c>
      <c r="G45" s="378">
        <v>19312603</v>
      </c>
      <c r="H45" s="406">
        <v>32825779</v>
      </c>
      <c r="I45" s="119" t="s">
        <v>231</v>
      </c>
      <c r="J45" s="33">
        <f t="shared" si="43"/>
        <v>14584.982</v>
      </c>
      <c r="K45" s="33">
        <f t="shared" si="43"/>
        <v>19312.603</v>
      </c>
      <c r="L45" s="33">
        <f t="shared" si="43"/>
        <v>32825.779</v>
      </c>
      <c r="M45" s="58" t="s">
        <v>231</v>
      </c>
      <c r="N45" s="55" t="s">
        <v>1</v>
      </c>
      <c r="O45" s="59" t="s">
        <v>3</v>
      </c>
      <c r="P45" s="59" t="s">
        <v>3</v>
      </c>
      <c r="Q45" s="59" t="s">
        <v>3</v>
      </c>
      <c r="R45" s="59" t="s">
        <v>3</v>
      </c>
      <c r="S45" s="59" t="s">
        <v>3</v>
      </c>
      <c r="T45" s="59" t="s">
        <v>3</v>
      </c>
      <c r="U45" s="55" t="s">
        <v>1</v>
      </c>
      <c r="V45" s="7"/>
      <c r="W45" s="7"/>
      <c r="AD45" s="537" t="s">
        <v>261</v>
      </c>
      <c r="AE45" s="538"/>
      <c r="AF45" s="538"/>
      <c r="AG45" s="538"/>
      <c r="AH45" s="538"/>
      <c r="AI45" s="538"/>
      <c r="AJ45" s="538"/>
      <c r="AK45" s="538"/>
      <c r="AL45" s="538"/>
      <c r="AM45" s="539"/>
      <c r="AN45" s="18"/>
      <c r="AO45" s="60"/>
      <c r="AP45" s="12" t="str">
        <f>FIXED($R$166,1,TRUE)</f>
        <v>1,5</v>
      </c>
      <c r="AQ45" s="60"/>
      <c r="AR45" s="60"/>
      <c r="AS45" s="60" t="s">
        <v>100</v>
      </c>
      <c r="AT45" s="22"/>
      <c r="AU45" s="18"/>
      <c r="AV45" s="60"/>
      <c r="AW45" s="14" t="str">
        <f>FIXED($Q$150,1,TRUE)</f>
        <v>2,8</v>
      </c>
      <c r="AX45" s="60"/>
      <c r="AY45" s="60"/>
      <c r="AZ45" s="60" t="s">
        <v>100</v>
      </c>
      <c r="BA45" s="69"/>
      <c r="BB45" s="18"/>
      <c r="BC45" s="60"/>
      <c r="BD45" s="14" t="str">
        <f>FIXED($R$150,1,TRUE)</f>
        <v>2,8</v>
      </c>
      <c r="BE45" s="60"/>
      <c r="BF45" s="12"/>
      <c r="BG45" s="60" t="s">
        <v>100</v>
      </c>
      <c r="BH45" s="22"/>
      <c r="BI45" s="68"/>
      <c r="BJ45" s="481"/>
      <c r="BK45" s="14" t="str">
        <f>FIXED($S$150,1,TRUE)</f>
        <v>2,1</v>
      </c>
      <c r="BL45" s="12"/>
      <c r="BM45" s="481"/>
      <c r="BN45" s="60" t="s">
        <v>100</v>
      </c>
      <c r="BO45" s="22"/>
      <c r="BP45" s="7"/>
      <c r="BT45" s="68"/>
      <c r="BU45" s="41" t="s">
        <v>104</v>
      </c>
      <c r="BV45" s="26"/>
      <c r="BW45" s="60"/>
      <c r="BX45" s="26"/>
      <c r="BY45" s="73" t="str">
        <f t="shared" si="2"/>
        <v>----</v>
      </c>
      <c r="BZ45" s="73" t="s">
        <v>258</v>
      </c>
      <c r="CA45" s="73" t="str">
        <f t="shared" si="3"/>
        <v>----</v>
      </c>
      <c r="CB45" s="73" t="s">
        <v>258</v>
      </c>
      <c r="CC45" s="73" t="str">
        <f t="shared" si="4"/>
        <v>----</v>
      </c>
      <c r="CD45" s="26"/>
      <c r="CE45" s="26"/>
      <c r="CF45" s="26"/>
      <c r="CG45" s="26"/>
      <c r="CH45" s="27"/>
      <c r="CI45" s="7"/>
      <c r="CJ45" s="7"/>
      <c r="CL45" s="85" t="s">
        <v>495</v>
      </c>
      <c r="CM45" s="60"/>
      <c r="CN45" s="60"/>
      <c r="CO45" s="198">
        <f>+R165</f>
        <v>5</v>
      </c>
      <c r="CP45" s="156">
        <f>+Q149</f>
        <v>-13.009684701479232</v>
      </c>
      <c r="CQ45" s="182" t="s">
        <v>98</v>
      </c>
      <c r="CR45" s="156">
        <f>+R149</f>
        <v>3.7607608035690068</v>
      </c>
      <c r="CS45" s="182" t="s">
        <v>98</v>
      </c>
      <c r="CT45" s="156">
        <f>+S149</f>
        <v>7.623673051263266</v>
      </c>
      <c r="CU45" s="245" t="s">
        <v>98</v>
      </c>
      <c r="CV45" s="192" t="s">
        <v>231</v>
      </c>
      <c r="CX45" s="85" t="str">
        <f>IF(T14="app","Actif net [Test de Solvabilité]","Degré de couverture du capital [Test d'Actif net]")</f>
        <v>Degré de couverture du capital [Test d'Actif net]</v>
      </c>
      <c r="CY45" s="60"/>
      <c r="CZ45" s="60"/>
      <c r="DA45" s="203"/>
      <c r="DB45" s="284">
        <f>IF(T14="app",R30+R31+R32+R33-R81,(R30+R31+R32+R33-R81)/R30*100)</f>
        <v>2542.1716837006666</v>
      </c>
      <c r="DC45" s="397" t="str">
        <f>IF(T14="app"," "," % ")</f>
        <v> % </v>
      </c>
      <c r="DD45" s="284">
        <f>IF(T14="app",S30+S31+S32+S33-S81,(S30+S31+S32+S33-S81)/S30*100)</f>
        <v>2681.039170035528</v>
      </c>
      <c r="DE45" s="397" t="str">
        <f>IF(T14="app"," "," % ")</f>
        <v> % </v>
      </c>
      <c r="DF45" s="284">
        <f>IF(T14="app",T30+T31+T32+T33-T81,(T30+T31+T32+T33-T81)/T30*100)</f>
        <v>2939.8269274544664</v>
      </c>
      <c r="DG45" s="398" t="str">
        <f>IF(T14="app"," "," % ")</f>
        <v> % </v>
      </c>
      <c r="DH45" s="58" t="s">
        <v>231</v>
      </c>
      <c r="DJ45" s="369" t="s">
        <v>644</v>
      </c>
      <c r="DK45" s="461" t="s">
        <v>645</v>
      </c>
      <c r="DL45" s="369" t="s">
        <v>564</v>
      </c>
      <c r="DM45" s="369" t="s">
        <v>641</v>
      </c>
      <c r="DN45" s="369" t="s">
        <v>642</v>
      </c>
      <c r="DO45" s="462" t="s">
        <v>643</v>
      </c>
      <c r="DQ45" s="58" t="s">
        <v>231</v>
      </c>
      <c r="EF45" s="3"/>
    </row>
    <row r="46" spans="2:136" ht="19.5" customHeight="1" thickBot="1" thickTop="1">
      <c r="B46" s="65" t="s">
        <v>2344</v>
      </c>
      <c r="D46" s="140" t="s">
        <v>79</v>
      </c>
      <c r="F46" s="399">
        <v>665829</v>
      </c>
      <c r="G46" s="409">
        <v>686871</v>
      </c>
      <c r="H46" s="410">
        <v>869842</v>
      </c>
      <c r="I46" s="119" t="s">
        <v>231</v>
      </c>
      <c r="J46" s="33">
        <f t="shared" si="43"/>
        <v>665.829</v>
      </c>
      <c r="K46" s="33">
        <f t="shared" si="43"/>
        <v>686.871</v>
      </c>
      <c r="L46" s="33">
        <f t="shared" si="43"/>
        <v>869.842</v>
      </c>
      <c r="M46" s="58" t="s">
        <v>231</v>
      </c>
      <c r="N46" s="55" t="s">
        <v>1</v>
      </c>
      <c r="O46" s="55" t="s">
        <v>405</v>
      </c>
      <c r="P46" s="58"/>
      <c r="Q46" s="55" t="s">
        <v>88</v>
      </c>
      <c r="R46" s="2">
        <f>J50-J53</f>
        <v>58764.547999999995</v>
      </c>
      <c r="S46" s="2">
        <f>K50-K53</f>
        <v>73115.12</v>
      </c>
      <c r="T46" s="2">
        <f>L50-L53</f>
        <v>100288.823</v>
      </c>
      <c r="U46" s="55" t="s">
        <v>1</v>
      </c>
      <c r="V46" s="7"/>
      <c r="W46" s="7"/>
      <c r="AD46" s="531" t="s">
        <v>2376</v>
      </c>
      <c r="AE46" s="532"/>
      <c r="AF46" s="532"/>
      <c r="AG46" s="532"/>
      <c r="AH46" s="532"/>
      <c r="AI46" s="532"/>
      <c r="AJ46" s="532"/>
      <c r="AK46" s="532"/>
      <c r="AL46" s="532"/>
      <c r="AM46" s="533"/>
      <c r="AN46" s="525" t="s">
        <v>2334</v>
      </c>
      <c r="AO46" s="526"/>
      <c r="AP46" s="526"/>
      <c r="AQ46" s="526"/>
      <c r="AR46" s="526"/>
      <c r="AS46" s="526"/>
      <c r="AT46" s="527"/>
      <c r="AU46" s="15"/>
      <c r="AV46" s="78"/>
      <c r="AW46" s="23" t="str">
        <f>FIXED($Q$178,2,TRUE)</f>
        <v>2,28</v>
      </c>
      <c r="AX46" s="78"/>
      <c r="AY46" s="78"/>
      <c r="AZ46" s="78"/>
      <c r="BA46" s="79"/>
      <c r="BB46" s="15"/>
      <c r="BC46" s="78"/>
      <c r="BD46" s="23" t="str">
        <f>FIXED($R$178,2,TRUE)</f>
        <v>2,36</v>
      </c>
      <c r="BE46" s="78"/>
      <c r="BF46" s="16"/>
      <c r="BG46" s="16"/>
      <c r="BH46" s="17"/>
      <c r="BI46" s="67"/>
      <c r="BK46" s="23" t="str">
        <f>FIXED($S$178,2,TRUE)</f>
        <v>2,35</v>
      </c>
      <c r="BL46" s="16"/>
      <c r="BN46" s="16"/>
      <c r="BO46" s="17"/>
      <c r="BP46" s="7"/>
      <c r="BQ46" s="7"/>
      <c r="BT46" s="68"/>
      <c r="CH46" s="27"/>
      <c r="CI46" s="7"/>
      <c r="CJ46" s="7"/>
      <c r="CL46" s="90" t="str">
        <f>IF(T14="app","Liquidité générale [Test de Liquidité]","Liquidité générale")</f>
        <v>Liquidité générale</v>
      </c>
      <c r="CM46" s="91"/>
      <c r="CN46" s="91"/>
      <c r="CO46" s="246">
        <f>+R166</f>
        <v>1.54</v>
      </c>
      <c r="CP46" s="247">
        <f>+Q150</f>
        <v>2.8079399894722106</v>
      </c>
      <c r="CQ46" s="248" t="s">
        <v>100</v>
      </c>
      <c r="CR46" s="247">
        <f>+R150</f>
        <v>2.796957440558278</v>
      </c>
      <c r="CS46" s="248" t="s">
        <v>100</v>
      </c>
      <c r="CT46" s="247">
        <f>+S150</f>
        <v>2.107243023342797</v>
      </c>
      <c r="CU46" s="249" t="s">
        <v>100</v>
      </c>
      <c r="CV46" s="193" t="s">
        <v>231</v>
      </c>
      <c r="CX46" s="90" t="s">
        <v>451</v>
      </c>
      <c r="CY46" s="91"/>
      <c r="CZ46" s="91"/>
      <c r="DA46" s="256"/>
      <c r="DB46" s="279">
        <f>+CP30+R56-R79</f>
        <v>-9524.409000000007</v>
      </c>
      <c r="DC46" s="218"/>
      <c r="DD46" s="279">
        <f>+CR30+S56-S79</f>
        <v>5408.485999999994</v>
      </c>
      <c r="DE46" s="218"/>
      <c r="DF46" s="279">
        <f>+CT30+T56-T79</f>
        <v>5636.307000000003</v>
      </c>
      <c r="DG46" s="92"/>
      <c r="DH46" s="58" t="s">
        <v>231</v>
      </c>
      <c r="DJ46" s="369" t="s">
        <v>646</v>
      </c>
      <c r="DK46" s="461" t="s">
        <v>647</v>
      </c>
      <c r="DL46" s="369" t="s">
        <v>564</v>
      </c>
      <c r="DM46" s="369" t="s">
        <v>641</v>
      </c>
      <c r="DN46" s="369" t="s">
        <v>642</v>
      </c>
      <c r="DO46" s="462" t="s">
        <v>643</v>
      </c>
      <c r="DQ46" s="58" t="s">
        <v>231</v>
      </c>
      <c r="EF46" s="3"/>
    </row>
    <row r="47" spans="2:121" ht="19.5" customHeight="1" thickBot="1" thickTop="1">
      <c r="B47" s="424" t="s">
        <v>2404</v>
      </c>
      <c r="C47" s="426"/>
      <c r="D47" s="444"/>
      <c r="E47" s="426"/>
      <c r="F47" s="443"/>
      <c r="G47" s="443"/>
      <c r="H47" s="443"/>
      <c r="I47" s="120"/>
      <c r="J47" s="485" t="s">
        <v>231</v>
      </c>
      <c r="K47" s="120"/>
      <c r="L47" s="120"/>
      <c r="M47" s="58" t="s">
        <v>231</v>
      </c>
      <c r="N47" s="55" t="s">
        <v>1</v>
      </c>
      <c r="O47" s="75" t="s">
        <v>107</v>
      </c>
      <c r="P47" s="58"/>
      <c r="Q47" s="55" t="s">
        <v>92</v>
      </c>
      <c r="R47" s="2">
        <f>IF(J51=0,J50,J51)</f>
        <v>54523.622</v>
      </c>
      <c r="S47" s="2">
        <f>IF(K51=0,K50,K51)</f>
        <v>71481.702</v>
      </c>
      <c r="T47" s="2">
        <f>IF(L51=0,L50,L51)</f>
        <v>95586.763</v>
      </c>
      <c r="U47" s="55" t="s">
        <v>1</v>
      </c>
      <c r="V47" s="7"/>
      <c r="W47" s="7"/>
      <c r="AD47" s="478"/>
      <c r="AE47" s="479"/>
      <c r="AF47" s="479"/>
      <c r="AG47" s="479"/>
      <c r="AH47" s="479"/>
      <c r="AI47" s="479"/>
      <c r="AJ47" s="479"/>
      <c r="AK47" s="479"/>
      <c r="AL47" s="479"/>
      <c r="AM47" s="480"/>
      <c r="AN47" s="19"/>
      <c r="AO47" s="20"/>
      <c r="AP47" s="20"/>
      <c r="AQ47" s="20"/>
      <c r="AR47" s="20"/>
      <c r="AS47" s="20"/>
      <c r="AT47" s="21"/>
      <c r="AU47" s="19"/>
      <c r="AV47" s="20"/>
      <c r="AW47" s="20"/>
      <c r="AX47" s="20"/>
      <c r="AY47" s="20"/>
      <c r="AZ47" s="20"/>
      <c r="BA47" s="21"/>
      <c r="BB47" s="19"/>
      <c r="BC47" s="20"/>
      <c r="BD47" s="20"/>
      <c r="BE47" s="20"/>
      <c r="BF47" s="20"/>
      <c r="BG47" s="20"/>
      <c r="BH47" s="21"/>
      <c r="BI47" s="19"/>
      <c r="BJ47" s="20"/>
      <c r="BK47" s="20"/>
      <c r="BL47" s="20"/>
      <c r="BM47" s="481"/>
      <c r="BN47" s="20"/>
      <c r="BO47" s="21"/>
      <c r="BP47" s="7"/>
      <c r="BQ47" s="7"/>
      <c r="BT47" s="80"/>
      <c r="BU47" s="20"/>
      <c r="BV47" s="31"/>
      <c r="BW47" s="31"/>
      <c r="BX47" s="31"/>
      <c r="BY47" s="81"/>
      <c r="BZ47" s="81"/>
      <c r="CA47" s="81"/>
      <c r="CB47" s="81"/>
      <c r="CC47" s="81"/>
      <c r="CD47" s="31"/>
      <c r="CE47" s="31"/>
      <c r="CF47" s="31"/>
      <c r="CG47" s="31"/>
      <c r="CH47" s="32"/>
      <c r="CI47" s="8"/>
      <c r="CJ47" s="8"/>
      <c r="DH47" s="58" t="s">
        <v>231</v>
      </c>
      <c r="DJ47" s="369" t="s">
        <v>648</v>
      </c>
      <c r="DK47" s="461" t="s">
        <v>649</v>
      </c>
      <c r="DL47" s="369" t="s">
        <v>564</v>
      </c>
      <c r="DM47" s="369" t="s">
        <v>641</v>
      </c>
      <c r="DN47" s="369" t="s">
        <v>642</v>
      </c>
      <c r="DO47" s="462" t="s">
        <v>643</v>
      </c>
      <c r="DQ47" s="58" t="s">
        <v>231</v>
      </c>
    </row>
    <row r="48" spans="2:136" ht="19.5" customHeight="1" thickBot="1" thickTop="1">
      <c r="B48" s="65" t="s">
        <v>248</v>
      </c>
      <c r="D48" s="140" t="s">
        <v>2325</v>
      </c>
      <c r="E48" s="504" t="s">
        <v>2400</v>
      </c>
      <c r="F48" s="411">
        <v>73141540</v>
      </c>
      <c r="G48" s="412">
        <v>73026260</v>
      </c>
      <c r="H48" s="413">
        <v>90727791</v>
      </c>
      <c r="I48" s="119" t="s">
        <v>231</v>
      </c>
      <c r="J48" s="33">
        <f>+F48/1000</f>
        <v>73141.54</v>
      </c>
      <c r="K48" s="33">
        <f>+G48/1000</f>
        <v>73026.26</v>
      </c>
      <c r="L48" s="33">
        <f>+H48/1000</f>
        <v>90727.791</v>
      </c>
      <c r="M48" s="58" t="s">
        <v>231</v>
      </c>
      <c r="N48" s="55" t="s">
        <v>1</v>
      </c>
      <c r="O48" s="75" t="s">
        <v>109</v>
      </c>
      <c r="P48" s="58"/>
      <c r="Q48" s="55" t="s">
        <v>110</v>
      </c>
      <c r="R48" s="2">
        <f>+R46-R47</f>
        <v>4240.925999999992</v>
      </c>
      <c r="S48" s="2">
        <f>+S46-S47</f>
        <v>1633.4179999999906</v>
      </c>
      <c r="T48" s="2">
        <f>+T46-T47</f>
        <v>4702.059999999998</v>
      </c>
      <c r="U48" s="55" t="s">
        <v>1</v>
      </c>
      <c r="AD48" s="58" t="s">
        <v>489</v>
      </c>
      <c r="BO48" s="7"/>
      <c r="BP48" s="7"/>
      <c r="BQ48" s="7"/>
      <c r="CL48" s="82" t="s">
        <v>488</v>
      </c>
      <c r="CM48" s="83"/>
      <c r="CN48" s="83"/>
      <c r="CO48" s="250" t="str">
        <f>+Q11</f>
        <v>Complet</v>
      </c>
      <c r="CP48" s="250" t="str">
        <f>+P12</f>
        <v>2211</v>
      </c>
      <c r="CQ48" s="251" t="str">
        <f>+P13</f>
        <v>Fabrication et rechapage de pneumatiques</v>
      </c>
      <c r="CR48" s="83"/>
      <c r="CS48" s="83"/>
      <c r="CT48" s="83"/>
      <c r="CU48" s="252"/>
      <c r="CV48" s="143" t="s">
        <v>231</v>
      </c>
      <c r="CX48" s="82" t="s">
        <v>2236</v>
      </c>
      <c r="CY48" s="83"/>
      <c r="CZ48" s="83"/>
      <c r="DA48" s="222">
        <f>+R167</f>
        <v>48</v>
      </c>
      <c r="DB48" s="83">
        <f>+Q151</f>
        <v>82.65391876797439</v>
      </c>
      <c r="DC48" s="83" t="s">
        <v>2253</v>
      </c>
      <c r="DD48" s="83">
        <f>+R151</f>
        <v>79.63025993625443</v>
      </c>
      <c r="DE48" s="83" t="s">
        <v>2253</v>
      </c>
      <c r="DF48" s="83">
        <f>+S151</f>
        <v>75.8486138661254</v>
      </c>
      <c r="DG48" s="84" t="s">
        <v>2253</v>
      </c>
      <c r="DH48" s="58" t="s">
        <v>231</v>
      </c>
      <c r="DJ48" s="369" t="s">
        <v>650</v>
      </c>
      <c r="DK48" s="461" t="s">
        <v>651</v>
      </c>
      <c r="DL48" s="369" t="s">
        <v>652</v>
      </c>
      <c r="DM48" s="369" t="s">
        <v>652</v>
      </c>
      <c r="DN48" s="369" t="s">
        <v>653</v>
      </c>
      <c r="DO48" s="462" t="s">
        <v>654</v>
      </c>
      <c r="DQ48" s="58" t="s">
        <v>231</v>
      </c>
      <c r="EF48" s="3"/>
    </row>
    <row r="49" spans="2:136" ht="19.5" customHeight="1" thickBot="1" thickTop="1">
      <c r="B49" s="424" t="s">
        <v>2273</v>
      </c>
      <c r="C49" s="425" t="s">
        <v>2271</v>
      </c>
      <c r="D49" s="444" t="s">
        <v>2272</v>
      </c>
      <c r="E49" s="428" t="s">
        <v>2407</v>
      </c>
      <c r="F49" s="429"/>
      <c r="G49" s="429"/>
      <c r="H49" s="429"/>
      <c r="I49" s="120"/>
      <c r="J49" s="485" t="s">
        <v>231</v>
      </c>
      <c r="K49" s="120"/>
      <c r="L49" s="120"/>
      <c r="M49" s="58" t="s">
        <v>231</v>
      </c>
      <c r="N49" s="55" t="s">
        <v>1</v>
      </c>
      <c r="O49" s="55" t="s">
        <v>406</v>
      </c>
      <c r="Q49" s="55" t="s">
        <v>112</v>
      </c>
      <c r="R49" s="2">
        <f>R50+R53+R55+R56+R57</f>
        <v>69141.092</v>
      </c>
      <c r="S49" s="2">
        <f>S50+S53+S55+S56+S57</f>
        <v>70702.086</v>
      </c>
      <c r="T49" s="2">
        <f>T50+T53+T55+T56+T57</f>
        <v>93449.293</v>
      </c>
      <c r="U49" s="55" t="s">
        <v>1</v>
      </c>
      <c r="BI49" s="65"/>
      <c r="CB49" s="60"/>
      <c r="CL49" s="90" t="s">
        <v>2319</v>
      </c>
      <c r="CM49" s="91"/>
      <c r="CN49" s="91"/>
      <c r="CO49" s="356">
        <f>IF(J12="",O119,O99)</f>
        <v>283</v>
      </c>
      <c r="CP49" s="234" t="str">
        <f>+P14</f>
        <v>PU2301</v>
      </c>
      <c r="CQ49" s="253" t="str">
        <f>+Q14</f>
        <v>Industrie du caoutchouc, transformation des matières plastiques</v>
      </c>
      <c r="CR49" s="91"/>
      <c r="CS49" s="91"/>
      <c r="CT49" s="91"/>
      <c r="CU49" s="254"/>
      <c r="CV49" s="143" t="s">
        <v>231</v>
      </c>
      <c r="CX49" s="90" t="s">
        <v>2320</v>
      </c>
      <c r="CY49" s="91"/>
      <c r="CZ49" s="91"/>
      <c r="DA49" s="388">
        <f>+R168</f>
        <v>50</v>
      </c>
      <c r="DB49" s="91">
        <f>+Q152</f>
        <v>97.21814496478225</v>
      </c>
      <c r="DC49" s="91" t="s">
        <v>2253</v>
      </c>
      <c r="DD49" s="91">
        <f>+R152</f>
        <v>143.88333158440037</v>
      </c>
      <c r="DE49" s="91" t="s">
        <v>2253</v>
      </c>
      <c r="DF49" s="91">
        <f>+S152</f>
        <v>126.85409474966714</v>
      </c>
      <c r="DG49" s="92" t="s">
        <v>2253</v>
      </c>
      <c r="DJ49" s="369" t="s">
        <v>655</v>
      </c>
      <c r="DK49" s="461" t="s">
        <v>656</v>
      </c>
      <c r="DL49" s="369" t="s">
        <v>652</v>
      </c>
      <c r="DM49" s="369" t="s">
        <v>652</v>
      </c>
      <c r="DN49" s="369" t="s">
        <v>653</v>
      </c>
      <c r="DO49" s="462" t="s">
        <v>654</v>
      </c>
      <c r="DQ49" s="58" t="s">
        <v>231</v>
      </c>
      <c r="EF49" s="3"/>
    </row>
    <row r="50" spans="2:121" ht="19.5" customHeight="1" thickTop="1">
      <c r="B50" s="65" t="s">
        <v>249</v>
      </c>
      <c r="D50" s="140" t="s">
        <v>2274</v>
      </c>
      <c r="E50" s="58" t="s">
        <v>2279</v>
      </c>
      <c r="F50" s="402">
        <v>58768969</v>
      </c>
      <c r="G50" s="403">
        <v>73125476</v>
      </c>
      <c r="H50" s="404">
        <v>100310311</v>
      </c>
      <c r="I50" s="119" t="s">
        <v>231</v>
      </c>
      <c r="J50" s="33">
        <f aca="true" t="shared" si="44" ref="J50:J61">+F50/1000</f>
        <v>58768.969</v>
      </c>
      <c r="K50" s="33">
        <f aca="true" t="shared" si="45" ref="K50:K61">+G50/1000</f>
        <v>73125.476</v>
      </c>
      <c r="L50" s="33">
        <f aca="true" t="shared" si="46" ref="L50:L61">+H50/1000</f>
        <v>100310.311</v>
      </c>
      <c r="M50" s="58" t="s">
        <v>231</v>
      </c>
      <c r="N50" s="55" t="s">
        <v>1</v>
      </c>
      <c r="O50" s="75" t="s">
        <v>114</v>
      </c>
      <c r="P50" s="58"/>
      <c r="Q50" s="55" t="s">
        <v>21</v>
      </c>
      <c r="R50" s="2">
        <f aca="true" t="shared" si="47" ref="R50:T51">J54</f>
        <v>41002.19</v>
      </c>
      <c r="S50" s="2">
        <f t="shared" si="47"/>
        <v>41091.479</v>
      </c>
      <c r="T50" s="2">
        <f t="shared" si="47"/>
        <v>60735.869</v>
      </c>
      <c r="U50" s="55" t="s">
        <v>1</v>
      </c>
      <c r="AS50" s="4" t="str">
        <f>$P$6</f>
        <v>BRIDGESTONE AIRCRAFT TIRE (EUROPE) SA</v>
      </c>
      <c r="BT50" s="60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R50" s="101" t="s">
        <v>501</v>
      </c>
      <c r="DJ50" s="369" t="s">
        <v>657</v>
      </c>
      <c r="DK50" s="461" t="s">
        <v>658</v>
      </c>
      <c r="DL50" s="369" t="s">
        <v>652</v>
      </c>
      <c r="DM50" s="369" t="s">
        <v>652</v>
      </c>
      <c r="DN50" s="369" t="s">
        <v>653</v>
      </c>
      <c r="DO50" s="462" t="s">
        <v>654</v>
      </c>
      <c r="DQ50" s="58" t="s">
        <v>231</v>
      </c>
    </row>
    <row r="51" spans="2:121" ht="19.5" customHeight="1">
      <c r="B51" s="65" t="s">
        <v>250</v>
      </c>
      <c r="D51" s="445" t="s">
        <v>92</v>
      </c>
      <c r="E51" s="111" t="s">
        <v>2397</v>
      </c>
      <c r="F51" s="405">
        <v>54523622</v>
      </c>
      <c r="G51" s="378">
        <v>71481702</v>
      </c>
      <c r="H51" s="406">
        <v>95586763</v>
      </c>
      <c r="I51" s="119" t="s">
        <v>231</v>
      </c>
      <c r="J51" s="33">
        <f t="shared" si="44"/>
        <v>54523.622</v>
      </c>
      <c r="K51" s="33">
        <f t="shared" si="45"/>
        <v>71481.702</v>
      </c>
      <c r="L51" s="33">
        <f t="shared" si="46"/>
        <v>95586.763</v>
      </c>
      <c r="M51" s="58" t="s">
        <v>231</v>
      </c>
      <c r="N51" s="55" t="s">
        <v>1</v>
      </c>
      <c r="O51" s="75" t="s">
        <v>116</v>
      </c>
      <c r="Q51" s="55" t="s">
        <v>97</v>
      </c>
      <c r="R51" s="2">
        <f t="shared" si="47"/>
        <v>41523.692</v>
      </c>
      <c r="S51" s="2">
        <f t="shared" si="47"/>
        <v>35551.295</v>
      </c>
      <c r="T51" s="2">
        <f t="shared" si="47"/>
        <v>75524.507</v>
      </c>
      <c r="U51" s="55" t="s">
        <v>1</v>
      </c>
      <c r="DJ51" s="369" t="s">
        <v>659</v>
      </c>
      <c r="DK51" s="461" t="s">
        <v>660</v>
      </c>
      <c r="DL51" s="369" t="s">
        <v>652</v>
      </c>
      <c r="DM51" s="369" t="s">
        <v>652</v>
      </c>
      <c r="DN51" s="369" t="s">
        <v>653</v>
      </c>
      <c r="DO51" s="462" t="s">
        <v>654</v>
      </c>
      <c r="DQ51" s="58" t="s">
        <v>231</v>
      </c>
    </row>
    <row r="52" spans="2:121" ht="19.5" customHeight="1">
      <c r="B52" s="65" t="s">
        <v>447</v>
      </c>
      <c r="D52" s="445" t="s">
        <v>448</v>
      </c>
      <c r="E52" s="66" t="s">
        <v>2278</v>
      </c>
      <c r="F52" s="405">
        <v>2389916</v>
      </c>
      <c r="G52" s="378">
        <v>3408532</v>
      </c>
      <c r="H52" s="406">
        <v>3975430</v>
      </c>
      <c r="I52" s="119" t="s">
        <v>231</v>
      </c>
      <c r="J52" s="33">
        <f t="shared" si="44"/>
        <v>2389.916</v>
      </c>
      <c r="K52" s="33">
        <f t="shared" si="45"/>
        <v>3408.532</v>
      </c>
      <c r="L52" s="33">
        <f t="shared" si="46"/>
        <v>3975.43</v>
      </c>
      <c r="M52" s="58" t="s">
        <v>231</v>
      </c>
      <c r="N52" s="55" t="s">
        <v>1</v>
      </c>
      <c r="O52" s="75" t="s">
        <v>119</v>
      </c>
      <c r="Q52" s="55" t="s">
        <v>120</v>
      </c>
      <c r="R52" s="2">
        <f>IF(R51=0,0,R50-R51)</f>
        <v>-521.5020000000004</v>
      </c>
      <c r="S52" s="2">
        <f>IF(S51=0,0,S50-S51)</f>
        <v>5540.184000000001</v>
      </c>
      <c r="T52" s="2">
        <f>IF(T51=0,0,T50-T51)</f>
        <v>-14788.637999999999</v>
      </c>
      <c r="U52" s="55" t="s">
        <v>1</v>
      </c>
      <c r="Z52" s="64" t="s">
        <v>128</v>
      </c>
      <c r="CL52" s="286" t="s">
        <v>556</v>
      </c>
      <c r="DG52" s="287" t="s">
        <v>559</v>
      </c>
      <c r="DJ52" s="369" t="s">
        <v>661</v>
      </c>
      <c r="DK52" s="461" t="s">
        <v>662</v>
      </c>
      <c r="DL52" s="369" t="s">
        <v>663</v>
      </c>
      <c r="DM52" s="369" t="s">
        <v>663</v>
      </c>
      <c r="DN52" s="369" t="s">
        <v>664</v>
      </c>
      <c r="DO52" s="462" t="s">
        <v>665</v>
      </c>
      <c r="DQ52" s="58" t="s">
        <v>231</v>
      </c>
    </row>
    <row r="53" spans="2:121" ht="19.5" customHeight="1" thickBot="1">
      <c r="B53" s="65" t="s">
        <v>2351</v>
      </c>
      <c r="D53" s="140" t="s">
        <v>387</v>
      </c>
      <c r="F53" s="405">
        <v>4421</v>
      </c>
      <c r="G53" s="378">
        <v>10356</v>
      </c>
      <c r="H53" s="406">
        <v>21488</v>
      </c>
      <c r="I53" s="119" t="s">
        <v>231</v>
      </c>
      <c r="J53" s="33">
        <f t="shared" si="44"/>
        <v>4.421</v>
      </c>
      <c r="K53" s="33">
        <f t="shared" si="45"/>
        <v>10.356</v>
      </c>
      <c r="L53" s="33">
        <f t="shared" si="46"/>
        <v>21.488</v>
      </c>
      <c r="M53" s="58" t="s">
        <v>231</v>
      </c>
      <c r="N53" s="55" t="s">
        <v>1</v>
      </c>
      <c r="O53" s="75" t="s">
        <v>121</v>
      </c>
      <c r="Q53" s="55" t="s">
        <v>99</v>
      </c>
      <c r="R53" s="2">
        <f>J56</f>
        <v>11689.824</v>
      </c>
      <c r="S53" s="2">
        <f>K56</f>
        <v>12286.773</v>
      </c>
      <c r="T53" s="2">
        <f>L56</f>
        <v>17333.75</v>
      </c>
      <c r="U53" s="55" t="s">
        <v>1</v>
      </c>
      <c r="V53" s="60"/>
      <c r="W53" s="12"/>
      <c r="CX53" s="58"/>
      <c r="DJ53" s="369" t="s">
        <v>666</v>
      </c>
      <c r="DK53" s="461" t="s">
        <v>667</v>
      </c>
      <c r="DL53" s="369" t="s">
        <v>652</v>
      </c>
      <c r="DM53" s="369" t="s">
        <v>652</v>
      </c>
      <c r="DN53" s="369" t="s">
        <v>653</v>
      </c>
      <c r="DO53" s="462" t="s">
        <v>654</v>
      </c>
      <c r="DQ53" s="58" t="s">
        <v>231</v>
      </c>
    </row>
    <row r="54" spans="2:121" ht="19.5" customHeight="1">
      <c r="B54" s="65" t="s">
        <v>256</v>
      </c>
      <c r="D54" s="445" t="s">
        <v>21</v>
      </c>
      <c r="E54" s="66" t="s">
        <v>2278</v>
      </c>
      <c r="F54" s="405">
        <v>41002190</v>
      </c>
      <c r="G54" s="378">
        <v>41091479</v>
      </c>
      <c r="H54" s="406">
        <v>60735869</v>
      </c>
      <c r="I54" s="119" t="s">
        <v>231</v>
      </c>
      <c r="J54" s="33">
        <f t="shared" si="44"/>
        <v>41002.19</v>
      </c>
      <c r="K54" s="33">
        <f t="shared" si="45"/>
        <v>41091.479</v>
      </c>
      <c r="L54" s="33">
        <f t="shared" si="46"/>
        <v>60735.869</v>
      </c>
      <c r="M54" s="58" t="s">
        <v>231</v>
      </c>
      <c r="N54" s="55" t="s">
        <v>1</v>
      </c>
      <c r="O54" s="62" t="s">
        <v>340</v>
      </c>
      <c r="P54" s="58"/>
      <c r="Q54" s="58" t="s">
        <v>341</v>
      </c>
      <c r="R54" s="2">
        <f>+R46-R50-R53</f>
        <v>6072.533999999992</v>
      </c>
      <c r="S54" s="2">
        <f>+S46-S50-S53</f>
        <v>19736.867999999995</v>
      </c>
      <c r="T54" s="2">
        <f>+T46-T50-T53</f>
        <v>22219.204000000005</v>
      </c>
      <c r="U54" s="55" t="s">
        <v>1</v>
      </c>
      <c r="V54" s="60"/>
      <c r="W54" s="12"/>
      <c r="X54" s="12"/>
      <c r="Y54" s="38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8"/>
      <c r="AY54" s="39"/>
      <c r="AZ54" s="39"/>
      <c r="BA54" s="39"/>
      <c r="BB54" s="37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7"/>
      <c r="BS54" s="7"/>
      <c r="BT54" s="82"/>
      <c r="BU54" s="39"/>
      <c r="BV54" s="83"/>
      <c r="BW54" s="40"/>
      <c r="BX54" s="40"/>
      <c r="BY54" s="83"/>
      <c r="BZ54" s="83"/>
      <c r="CA54" s="83"/>
      <c r="CB54" s="83"/>
      <c r="CC54" s="83"/>
      <c r="CD54" s="40"/>
      <c r="CE54" s="40"/>
      <c r="CF54" s="83"/>
      <c r="CG54" s="83"/>
      <c r="CH54" s="84"/>
      <c r="CL54" s="204" t="s">
        <v>414</v>
      </c>
      <c r="CM54" s="83"/>
      <c r="CN54" s="83"/>
      <c r="CO54" s="83"/>
      <c r="CP54" s="220" t="s">
        <v>287</v>
      </c>
      <c r="CQ54" s="222" t="s">
        <v>98</v>
      </c>
      <c r="CR54" s="220" t="s">
        <v>288</v>
      </c>
      <c r="CS54" s="222" t="s">
        <v>98</v>
      </c>
      <c r="CT54" s="220" t="s">
        <v>222</v>
      </c>
      <c r="CU54" s="222" t="s">
        <v>98</v>
      </c>
      <c r="CV54" s="331" t="s">
        <v>231</v>
      </c>
      <c r="CW54" s="213"/>
      <c r="CX54" s="353" t="s">
        <v>2409</v>
      </c>
      <c r="CY54" s="214"/>
      <c r="CZ54" s="214"/>
      <c r="DA54" s="220" t="s">
        <v>440</v>
      </c>
      <c r="DB54" s="220" t="s">
        <v>287</v>
      </c>
      <c r="DC54" s="222" t="s">
        <v>98</v>
      </c>
      <c r="DD54" s="220" t="s">
        <v>288</v>
      </c>
      <c r="DE54" s="222" t="s">
        <v>98</v>
      </c>
      <c r="DF54" s="220" t="s">
        <v>222</v>
      </c>
      <c r="DG54" s="215" t="s">
        <v>98</v>
      </c>
      <c r="DH54" s="58" t="s">
        <v>231</v>
      </c>
      <c r="DJ54" s="369" t="s">
        <v>668</v>
      </c>
      <c r="DK54" s="461" t="s">
        <v>669</v>
      </c>
      <c r="DL54" s="369" t="s">
        <v>663</v>
      </c>
      <c r="DM54" s="369" t="s">
        <v>663</v>
      </c>
      <c r="DN54" s="369" t="s">
        <v>664</v>
      </c>
      <c r="DO54" s="462" t="s">
        <v>665</v>
      </c>
      <c r="DQ54" s="58" t="s">
        <v>231</v>
      </c>
    </row>
    <row r="55" spans="3:121" ht="19.5" customHeight="1" thickBot="1">
      <c r="C55" s="137" t="s">
        <v>251</v>
      </c>
      <c r="D55" s="445" t="s">
        <v>97</v>
      </c>
      <c r="E55" s="66" t="s">
        <v>2278</v>
      </c>
      <c r="F55" s="405">
        <v>41523692</v>
      </c>
      <c r="G55" s="378">
        <v>35551295</v>
      </c>
      <c r="H55" s="406">
        <v>75524507</v>
      </c>
      <c r="I55" s="119" t="s">
        <v>231</v>
      </c>
      <c r="J55" s="33">
        <f t="shared" si="44"/>
        <v>41523.692</v>
      </c>
      <c r="K55" s="33">
        <f t="shared" si="45"/>
        <v>35551.295</v>
      </c>
      <c r="L55" s="33">
        <f t="shared" si="46"/>
        <v>75524.507</v>
      </c>
      <c r="M55" s="58" t="s">
        <v>231</v>
      </c>
      <c r="N55" s="55" t="s">
        <v>1</v>
      </c>
      <c r="O55" s="75" t="s">
        <v>122</v>
      </c>
      <c r="Q55" s="55" t="s">
        <v>103</v>
      </c>
      <c r="R55" s="2">
        <f>J57</f>
        <v>14300.489</v>
      </c>
      <c r="S55" s="2">
        <f>K57</f>
        <v>13164.486</v>
      </c>
      <c r="T55" s="2">
        <f>L57</f>
        <v>15435.674</v>
      </c>
      <c r="U55" s="55" t="s">
        <v>1</v>
      </c>
      <c r="V55" s="60"/>
      <c r="W55" s="12"/>
      <c r="X55" s="60"/>
      <c r="Y55" s="85"/>
      <c r="Z55" s="60" t="s">
        <v>129</v>
      </c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12"/>
      <c r="AO55" s="60"/>
      <c r="AP55" s="60"/>
      <c r="AQ55" s="60"/>
      <c r="AR55" s="60"/>
      <c r="AS55" s="60"/>
      <c r="AT55" s="60"/>
      <c r="AU55" s="60"/>
      <c r="AV55" s="60"/>
      <c r="AW55" s="60"/>
      <c r="AX55" s="36"/>
      <c r="AY55" s="60" t="s">
        <v>265</v>
      </c>
      <c r="AZ55" s="60"/>
      <c r="BA55" s="60"/>
      <c r="BB55" s="86"/>
      <c r="BC55" s="12"/>
      <c r="BD55" s="60"/>
      <c r="BE55" s="12"/>
      <c r="BF55" s="60"/>
      <c r="BG55" s="60"/>
      <c r="BH55" s="60"/>
      <c r="BI55" s="60" t="s">
        <v>130</v>
      </c>
      <c r="BJ55" s="12"/>
      <c r="BK55" s="60"/>
      <c r="BL55" s="60"/>
      <c r="BM55" s="60"/>
      <c r="BN55" s="12"/>
      <c r="BO55" s="12"/>
      <c r="BP55" s="60"/>
      <c r="BQ55" s="12"/>
      <c r="BR55" s="86"/>
      <c r="BS55" s="7"/>
      <c r="BT55" s="85"/>
      <c r="BU55" s="12" t="s">
        <v>312</v>
      </c>
      <c r="BV55" s="60"/>
      <c r="BW55" s="26"/>
      <c r="BX55" s="26"/>
      <c r="BY55" s="60"/>
      <c r="BZ55" s="60"/>
      <c r="CA55" s="60"/>
      <c r="CB55" s="60"/>
      <c r="CC55" s="60"/>
      <c r="CD55" s="26"/>
      <c r="CE55" s="41" t="s">
        <v>2378</v>
      </c>
      <c r="CF55" s="60"/>
      <c r="CG55" s="60"/>
      <c r="CH55" s="86"/>
      <c r="CL55" s="207" t="s">
        <v>415</v>
      </c>
      <c r="CM55" s="146"/>
      <c r="CN55" s="146"/>
      <c r="CO55" s="146"/>
      <c r="CP55" s="314" t="s">
        <v>508</v>
      </c>
      <c r="CQ55" s="175"/>
      <c r="CR55" s="274"/>
      <c r="CS55" s="175"/>
      <c r="CT55" s="274"/>
      <c r="CU55" s="175"/>
      <c r="CV55" s="332" t="s">
        <v>231</v>
      </c>
      <c r="CW55" s="208"/>
      <c r="CX55" s="174" t="s">
        <v>421</v>
      </c>
      <c r="CY55" s="146"/>
      <c r="CZ55" s="146"/>
      <c r="DA55" s="146"/>
      <c r="DB55" s="314" t="s">
        <v>512</v>
      </c>
      <c r="DC55" s="175"/>
      <c r="DD55" s="274"/>
      <c r="DE55" s="175"/>
      <c r="DF55" s="274"/>
      <c r="DG55" s="216"/>
      <c r="DH55" s="143" t="s">
        <v>231</v>
      </c>
      <c r="DJ55" s="369" t="s">
        <v>670</v>
      </c>
      <c r="DK55" s="463" t="s">
        <v>671</v>
      </c>
      <c r="DL55" s="369" t="s">
        <v>663</v>
      </c>
      <c r="DM55" s="369" t="s">
        <v>672</v>
      </c>
      <c r="DN55" s="369" t="s">
        <v>673</v>
      </c>
      <c r="DO55" s="462" t="s">
        <v>674</v>
      </c>
      <c r="DQ55" s="58" t="s">
        <v>231</v>
      </c>
    </row>
    <row r="56" spans="2:121" ht="19.5" customHeight="1">
      <c r="B56" s="65" t="s">
        <v>2352</v>
      </c>
      <c r="D56" s="445" t="s">
        <v>99</v>
      </c>
      <c r="E56" s="111" t="s">
        <v>2398</v>
      </c>
      <c r="F56" s="405">
        <v>11689824</v>
      </c>
      <c r="G56" s="378">
        <v>12286773</v>
      </c>
      <c r="H56" s="406">
        <v>17333750</v>
      </c>
      <c r="I56" s="119" t="s">
        <v>231</v>
      </c>
      <c r="J56" s="33">
        <f t="shared" si="44"/>
        <v>11689.824</v>
      </c>
      <c r="K56" s="33">
        <f t="shared" si="45"/>
        <v>12286.773</v>
      </c>
      <c r="L56" s="33">
        <f t="shared" si="46"/>
        <v>17333.75</v>
      </c>
      <c r="M56" s="58" t="s">
        <v>231</v>
      </c>
      <c r="N56" s="55" t="s">
        <v>1</v>
      </c>
      <c r="O56" s="75" t="s">
        <v>123</v>
      </c>
      <c r="Q56" s="58" t="s">
        <v>550</v>
      </c>
      <c r="R56" s="2">
        <f>(J58+J59+J60)</f>
        <v>74.03899999999985</v>
      </c>
      <c r="S56" s="2">
        <f>(K58+K59+K60)</f>
        <v>2708.4299999999994</v>
      </c>
      <c r="T56" s="2">
        <f>(L58+L59+L60)</f>
        <v>-1244.4279999999999</v>
      </c>
      <c r="U56" s="55" t="s">
        <v>1</v>
      </c>
      <c r="V56" s="60"/>
      <c r="W56" s="12"/>
      <c r="X56" s="60"/>
      <c r="Y56" s="82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2"/>
      <c r="AY56" s="83"/>
      <c r="AZ56" s="83"/>
      <c r="BA56" s="83"/>
      <c r="BB56" s="84"/>
      <c r="BC56" s="83"/>
      <c r="BD56" s="83"/>
      <c r="BE56" s="83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9"/>
      <c r="BS56" s="7"/>
      <c r="BT56" s="85"/>
      <c r="BU56" s="60"/>
      <c r="BV56" s="60"/>
      <c r="BW56" s="26"/>
      <c r="BX56" s="26"/>
      <c r="BY56" s="60"/>
      <c r="BZ56" s="60"/>
      <c r="CA56" s="60"/>
      <c r="CB56" s="60"/>
      <c r="CC56" s="60"/>
      <c r="CD56" s="26"/>
      <c r="CE56" s="60"/>
      <c r="CF56" s="26" t="s">
        <v>264</v>
      </c>
      <c r="CG56" s="87"/>
      <c r="CH56" s="42"/>
      <c r="CL56" s="208" t="s">
        <v>416</v>
      </c>
      <c r="CM56" s="146"/>
      <c r="CN56" s="146"/>
      <c r="CO56" s="146"/>
      <c r="CP56" s="305" t="s">
        <v>505</v>
      </c>
      <c r="CQ56" s="175"/>
      <c r="CR56" s="12"/>
      <c r="CS56" s="175"/>
      <c r="CT56" s="12"/>
      <c r="CU56" s="175"/>
      <c r="CV56" s="332" t="s">
        <v>231</v>
      </c>
      <c r="CW56" s="208"/>
      <c r="CX56" s="146" t="s">
        <v>2380</v>
      </c>
      <c r="CY56" s="146"/>
      <c r="CZ56" s="146"/>
      <c r="DA56" s="301" t="s">
        <v>558</v>
      </c>
      <c r="DB56" s="305" t="s">
        <v>510</v>
      </c>
      <c r="DC56" s="175"/>
      <c r="DD56" s="12"/>
      <c r="DE56" s="175"/>
      <c r="DF56" s="12"/>
      <c r="DG56" s="216"/>
      <c r="DH56" s="143" t="s">
        <v>231</v>
      </c>
      <c r="DJ56" s="369" t="s">
        <v>675</v>
      </c>
      <c r="DK56" s="463" t="s">
        <v>676</v>
      </c>
      <c r="DL56" s="369" t="s">
        <v>663</v>
      </c>
      <c r="DM56" s="369" t="s">
        <v>672</v>
      </c>
      <c r="DN56" s="369" t="s">
        <v>673</v>
      </c>
      <c r="DO56" s="462" t="s">
        <v>674</v>
      </c>
      <c r="DQ56" s="58" t="s">
        <v>231</v>
      </c>
    </row>
    <row r="57" spans="2:121" ht="19.5" customHeight="1">
      <c r="B57" s="65" t="s">
        <v>252</v>
      </c>
      <c r="D57" s="140" t="s">
        <v>103</v>
      </c>
      <c r="F57" s="405">
        <v>14300489</v>
      </c>
      <c r="G57" s="378">
        <v>13164486</v>
      </c>
      <c r="H57" s="406">
        <v>15435674</v>
      </c>
      <c r="I57" s="119" t="s">
        <v>231</v>
      </c>
      <c r="J57" s="33">
        <f t="shared" si="44"/>
        <v>14300.489</v>
      </c>
      <c r="K57" s="33">
        <f t="shared" si="45"/>
        <v>13164.486</v>
      </c>
      <c r="L57" s="33">
        <f t="shared" si="46"/>
        <v>15435.674</v>
      </c>
      <c r="M57" s="58" t="s">
        <v>231</v>
      </c>
      <c r="N57" s="55" t="s">
        <v>1</v>
      </c>
      <c r="O57" s="75" t="s">
        <v>124</v>
      </c>
      <c r="Q57" s="55" t="s">
        <v>125</v>
      </c>
      <c r="R57" s="2">
        <f>J61+J62</f>
        <v>2074.55</v>
      </c>
      <c r="S57" s="2">
        <f>K61+K62</f>
        <v>1450.918</v>
      </c>
      <c r="T57" s="2">
        <f>L61+L62</f>
        <v>1188.428</v>
      </c>
      <c r="U57" s="55" t="s">
        <v>1</v>
      </c>
      <c r="V57" s="60"/>
      <c r="W57" s="12"/>
      <c r="X57" s="60"/>
      <c r="Y57" s="85" t="s">
        <v>131</v>
      </c>
      <c r="Z57" s="60"/>
      <c r="AA57" s="60" t="s">
        <v>132</v>
      </c>
      <c r="AB57" s="60"/>
      <c r="AC57" s="60"/>
      <c r="AD57" s="60"/>
      <c r="AE57" s="60"/>
      <c r="AF57" s="60"/>
      <c r="AG57" s="60"/>
      <c r="AH57" s="60"/>
      <c r="AI57" s="60"/>
      <c r="AJ57" s="12"/>
      <c r="AK57" s="60"/>
      <c r="AL57" s="60"/>
      <c r="AM57" s="60"/>
      <c r="AN57" s="12"/>
      <c r="AO57" s="60"/>
      <c r="AP57" s="60"/>
      <c r="AQ57" s="60"/>
      <c r="AR57" s="60"/>
      <c r="AS57" s="60"/>
      <c r="AT57" s="60"/>
      <c r="AU57" s="60" t="s">
        <v>133</v>
      </c>
      <c r="AV57" s="60"/>
      <c r="AW57" s="60"/>
      <c r="AX57" s="36"/>
      <c r="AY57" s="46" t="s">
        <v>134</v>
      </c>
      <c r="AZ57" s="60"/>
      <c r="BA57" s="60"/>
      <c r="BB57" s="86"/>
      <c r="BC57" s="12"/>
      <c r="BD57" s="60" t="s">
        <v>135</v>
      </c>
      <c r="BE57" s="60"/>
      <c r="BF57" s="13"/>
      <c r="BG57" s="60"/>
      <c r="BH57" s="60"/>
      <c r="BI57" s="12"/>
      <c r="BJ57" s="60"/>
      <c r="BK57" s="60"/>
      <c r="BL57" s="13"/>
      <c r="BM57" s="60"/>
      <c r="BN57" s="12"/>
      <c r="BO57" s="60"/>
      <c r="BP57" s="60"/>
      <c r="BQ57" s="60" t="s">
        <v>136</v>
      </c>
      <c r="BR57" s="86"/>
      <c r="BS57" s="7"/>
      <c r="BT57" s="85"/>
      <c r="BU57" s="26" t="s">
        <v>17</v>
      </c>
      <c r="BV57" s="26"/>
      <c r="BW57" s="60"/>
      <c r="BX57" s="26"/>
      <c r="BY57" s="71" t="s">
        <v>258</v>
      </c>
      <c r="BZ57" s="71" t="s">
        <v>258</v>
      </c>
      <c r="CA57" s="71" t="s">
        <v>258</v>
      </c>
      <c r="CB57" s="71" t="s">
        <v>258</v>
      </c>
      <c r="CC57" s="71" t="s">
        <v>258</v>
      </c>
      <c r="CD57" s="26"/>
      <c r="CE57" s="26"/>
      <c r="CF57" s="26"/>
      <c r="CG57" s="60"/>
      <c r="CH57" s="42"/>
      <c r="CL57" s="208" t="s">
        <v>417</v>
      </c>
      <c r="CM57" s="146"/>
      <c r="CN57" s="146"/>
      <c r="CO57" s="146"/>
      <c r="CP57" s="305" t="s">
        <v>12</v>
      </c>
      <c r="CQ57" s="175"/>
      <c r="CR57" s="12"/>
      <c r="CS57" s="175"/>
      <c r="CT57" s="12"/>
      <c r="CU57" s="175"/>
      <c r="CV57" s="332" t="s">
        <v>231</v>
      </c>
      <c r="CW57" s="208"/>
      <c r="CX57" s="146" t="s">
        <v>422</v>
      </c>
      <c r="CY57" s="146"/>
      <c r="CZ57" s="146"/>
      <c r="DA57" s="146"/>
      <c r="DB57" s="305" t="s">
        <v>511</v>
      </c>
      <c r="DC57" s="175"/>
      <c r="DD57" s="12"/>
      <c r="DE57" s="175"/>
      <c r="DF57" s="12"/>
      <c r="DG57" s="216"/>
      <c r="DH57" s="143" t="s">
        <v>231</v>
      </c>
      <c r="DJ57" s="369" t="s">
        <v>677</v>
      </c>
      <c r="DK57" s="461" t="s">
        <v>678</v>
      </c>
      <c r="DL57" s="369" t="s">
        <v>663</v>
      </c>
      <c r="DM57" s="369" t="s">
        <v>672</v>
      </c>
      <c r="DN57" s="369" t="s">
        <v>673</v>
      </c>
      <c r="DO57" s="462" t="s">
        <v>674</v>
      </c>
      <c r="DQ57" s="58" t="s">
        <v>231</v>
      </c>
    </row>
    <row r="58" spans="2:121" ht="19.5" customHeight="1">
      <c r="B58" s="65" t="s">
        <v>253</v>
      </c>
      <c r="D58" s="140" t="s">
        <v>105</v>
      </c>
      <c r="F58" s="405">
        <v>1724841</v>
      </c>
      <c r="G58" s="378">
        <v>1215927</v>
      </c>
      <c r="H58" s="406">
        <v>1114317</v>
      </c>
      <c r="I58" s="119" t="s">
        <v>231</v>
      </c>
      <c r="J58" s="33">
        <f t="shared" si="44"/>
        <v>1724.841</v>
      </c>
      <c r="K58" s="33">
        <f t="shared" si="45"/>
        <v>1215.927</v>
      </c>
      <c r="L58" s="33">
        <f t="shared" si="46"/>
        <v>1114.317</v>
      </c>
      <c r="M58" s="58" t="s">
        <v>231</v>
      </c>
      <c r="N58" s="55" t="s">
        <v>1</v>
      </c>
      <c r="O58" s="62" t="s">
        <v>393</v>
      </c>
      <c r="Q58" s="58" t="s">
        <v>332</v>
      </c>
      <c r="R58" s="2">
        <f>R46-R49</f>
        <v>-10376.544000000009</v>
      </c>
      <c r="S58" s="2">
        <f>S46-S49</f>
        <v>2413.0339999999997</v>
      </c>
      <c r="T58" s="2">
        <f>T46-T49</f>
        <v>6839.529999999999</v>
      </c>
      <c r="U58" s="55" t="s">
        <v>1</v>
      </c>
      <c r="V58" s="60"/>
      <c r="W58" s="12"/>
      <c r="X58" s="60"/>
      <c r="Y58" s="85" t="s">
        <v>137</v>
      </c>
      <c r="Z58" s="60"/>
      <c r="AA58" s="60" t="s">
        <v>138</v>
      </c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 t="s">
        <v>133</v>
      </c>
      <c r="AV58" s="60"/>
      <c r="AW58" s="60"/>
      <c r="AX58" s="36"/>
      <c r="AY58" s="46" t="s">
        <v>139</v>
      </c>
      <c r="AZ58" s="60"/>
      <c r="BA58" s="60"/>
      <c r="BB58" s="86"/>
      <c r="BC58" s="12"/>
      <c r="BD58" s="60" t="s">
        <v>140</v>
      </c>
      <c r="BE58" s="60"/>
      <c r="BF58" s="60"/>
      <c r="BG58" s="60"/>
      <c r="BH58" s="60"/>
      <c r="BI58" s="12"/>
      <c r="BJ58" s="60"/>
      <c r="BK58" s="60"/>
      <c r="BL58" s="60"/>
      <c r="BM58" s="60"/>
      <c r="BN58" s="12"/>
      <c r="BO58" s="60"/>
      <c r="BP58" s="60"/>
      <c r="BQ58" s="60" t="s">
        <v>136</v>
      </c>
      <c r="BR58" s="86"/>
      <c r="BS58" s="7"/>
      <c r="BT58" s="85"/>
      <c r="BU58" s="26"/>
      <c r="BV58" s="60"/>
      <c r="BW58" s="28" t="s">
        <v>18</v>
      </c>
      <c r="BX58" s="26"/>
      <c r="BY58" s="71" t="s">
        <v>258</v>
      </c>
      <c r="BZ58" s="71" t="s">
        <v>258</v>
      </c>
      <c r="CA58" s="71" t="s">
        <v>258</v>
      </c>
      <c r="CB58" s="71" t="s">
        <v>258</v>
      </c>
      <c r="CC58" s="71" t="s">
        <v>258</v>
      </c>
      <c r="CD58" s="26"/>
      <c r="CE58" s="60"/>
      <c r="CF58" s="26" t="s">
        <v>19</v>
      </c>
      <c r="CG58" s="60"/>
      <c r="CH58" s="42"/>
      <c r="CL58" s="207" t="s">
        <v>418</v>
      </c>
      <c r="CM58" s="177"/>
      <c r="CN58" s="177"/>
      <c r="CO58" s="177"/>
      <c r="CP58" s="314" t="s">
        <v>509</v>
      </c>
      <c r="CQ58" s="175"/>
      <c r="CR58" s="274"/>
      <c r="CS58" s="175"/>
      <c r="CT58" s="274"/>
      <c r="CU58" s="175"/>
      <c r="CV58" s="332" t="s">
        <v>231</v>
      </c>
      <c r="CW58" s="208"/>
      <c r="CX58" s="174" t="s">
        <v>423</v>
      </c>
      <c r="CY58" s="146"/>
      <c r="CZ58" s="146"/>
      <c r="DA58" s="146"/>
      <c r="DB58" s="314" t="s">
        <v>513</v>
      </c>
      <c r="DC58" s="175"/>
      <c r="DD58" s="274"/>
      <c r="DE58" s="175"/>
      <c r="DF58" s="274"/>
      <c r="DG58" s="216"/>
      <c r="DH58" s="143" t="s">
        <v>231</v>
      </c>
      <c r="DJ58" s="369" t="s">
        <v>679</v>
      </c>
      <c r="DK58" s="461" t="s">
        <v>680</v>
      </c>
      <c r="DL58" s="369" t="s">
        <v>663</v>
      </c>
      <c r="DM58" s="369" t="s">
        <v>672</v>
      </c>
      <c r="DN58" s="369" t="s">
        <v>673</v>
      </c>
      <c r="DO58" s="462" t="s">
        <v>674</v>
      </c>
      <c r="DQ58" s="58" t="s">
        <v>231</v>
      </c>
    </row>
    <row r="59" spans="2:121" ht="19.5" customHeight="1">
      <c r="B59" s="65" t="s">
        <v>2365</v>
      </c>
      <c r="D59" s="140" t="s">
        <v>106</v>
      </c>
      <c r="F59" s="405">
        <v>-1408604</v>
      </c>
      <c r="G59" s="378">
        <v>3778526</v>
      </c>
      <c r="H59" s="406">
        <v>-113893</v>
      </c>
      <c r="I59" s="119" t="s">
        <v>231</v>
      </c>
      <c r="J59" s="33">
        <f t="shared" si="44"/>
        <v>-1408.604</v>
      </c>
      <c r="K59" s="33">
        <f t="shared" si="45"/>
        <v>3778.526</v>
      </c>
      <c r="L59" s="33">
        <f t="shared" si="46"/>
        <v>-113.893</v>
      </c>
      <c r="M59" s="58" t="s">
        <v>231</v>
      </c>
      <c r="N59" s="55" t="s">
        <v>1</v>
      </c>
      <c r="O59" s="55" t="s">
        <v>407</v>
      </c>
      <c r="Q59" s="55" t="s">
        <v>113</v>
      </c>
      <c r="R59" s="2">
        <f>J64</f>
        <v>319.343</v>
      </c>
      <c r="S59" s="2">
        <f>K64</f>
        <v>349.394</v>
      </c>
      <c r="T59" s="2">
        <f>L64</f>
        <v>782.661</v>
      </c>
      <c r="U59" s="55" t="s">
        <v>1</v>
      </c>
      <c r="V59" s="60"/>
      <c r="W59" s="12"/>
      <c r="X59" s="60"/>
      <c r="Y59" s="85" t="s">
        <v>141</v>
      </c>
      <c r="Z59" s="60"/>
      <c r="AA59" s="60" t="s">
        <v>142</v>
      </c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 t="s">
        <v>133</v>
      </c>
      <c r="AV59" s="60"/>
      <c r="AW59" s="60"/>
      <c r="AX59" s="36"/>
      <c r="AY59" s="46" t="s">
        <v>143</v>
      </c>
      <c r="AZ59" s="60"/>
      <c r="BA59" s="60"/>
      <c r="BB59" s="86"/>
      <c r="BC59" s="12"/>
      <c r="BD59" s="60" t="s">
        <v>144</v>
      </c>
      <c r="BE59" s="60"/>
      <c r="BF59" s="60"/>
      <c r="BG59" s="60"/>
      <c r="BH59" s="60"/>
      <c r="BI59" s="12"/>
      <c r="BJ59" s="60"/>
      <c r="BK59" s="60"/>
      <c r="BL59" s="60"/>
      <c r="BM59" s="60"/>
      <c r="BN59" s="12"/>
      <c r="BO59" s="60"/>
      <c r="BP59" s="60"/>
      <c r="BQ59" s="60" t="s">
        <v>136</v>
      </c>
      <c r="BR59" s="86"/>
      <c r="BS59" s="7"/>
      <c r="BT59" s="85"/>
      <c r="BU59" s="26" t="s">
        <v>22</v>
      </c>
      <c r="BV59" s="60"/>
      <c r="BW59" s="28"/>
      <c r="BX59" s="26"/>
      <c r="BY59" s="71" t="s">
        <v>258</v>
      </c>
      <c r="BZ59" s="71" t="s">
        <v>258</v>
      </c>
      <c r="CA59" s="71" t="s">
        <v>258</v>
      </c>
      <c r="CB59" s="71" t="s">
        <v>258</v>
      </c>
      <c r="CC59" s="71" t="s">
        <v>258</v>
      </c>
      <c r="CD59" s="26"/>
      <c r="CE59" s="60"/>
      <c r="CF59" s="26"/>
      <c r="CG59" s="60"/>
      <c r="CH59" s="42"/>
      <c r="CL59" s="209" t="s">
        <v>419</v>
      </c>
      <c r="CM59" s="177"/>
      <c r="CN59" s="177"/>
      <c r="CO59" s="177"/>
      <c r="CP59" s="315" t="s">
        <v>506</v>
      </c>
      <c r="CQ59" s="175"/>
      <c r="CR59" s="275"/>
      <c r="CS59" s="175"/>
      <c r="CT59" s="275"/>
      <c r="CU59" s="175"/>
      <c r="CV59" s="332" t="s">
        <v>231</v>
      </c>
      <c r="CW59" s="209"/>
      <c r="CX59" s="177" t="s">
        <v>427</v>
      </c>
      <c r="CY59" s="177"/>
      <c r="CZ59" s="177"/>
      <c r="DA59" s="177"/>
      <c r="DB59" s="315" t="s">
        <v>514</v>
      </c>
      <c r="DC59" s="175"/>
      <c r="DD59" s="275"/>
      <c r="DE59" s="175"/>
      <c r="DF59" s="275"/>
      <c r="DG59" s="216"/>
      <c r="DH59" s="194" t="s">
        <v>231</v>
      </c>
      <c r="DJ59" s="369" t="s">
        <v>681</v>
      </c>
      <c r="DK59" s="461" t="s">
        <v>682</v>
      </c>
      <c r="DL59" s="369" t="s">
        <v>663</v>
      </c>
      <c r="DM59" s="369" t="s">
        <v>672</v>
      </c>
      <c r="DN59" s="369" t="s">
        <v>673</v>
      </c>
      <c r="DO59" s="462" t="s">
        <v>674</v>
      </c>
      <c r="DQ59" s="58" t="s">
        <v>231</v>
      </c>
    </row>
    <row r="60" spans="2:121" ht="19.5" customHeight="1">
      <c r="B60" s="65" t="s">
        <v>2366</v>
      </c>
      <c r="D60" s="445" t="s">
        <v>486</v>
      </c>
      <c r="F60" s="405">
        <v>-242198</v>
      </c>
      <c r="G60" s="378">
        <v>-2286023</v>
      </c>
      <c r="H60" s="406">
        <v>-2244852</v>
      </c>
      <c r="I60" s="119" t="s">
        <v>231</v>
      </c>
      <c r="J60" s="33">
        <f t="shared" si="44"/>
        <v>-242.198</v>
      </c>
      <c r="K60" s="33">
        <f t="shared" si="45"/>
        <v>-2286.023</v>
      </c>
      <c r="L60" s="33">
        <f t="shared" si="46"/>
        <v>-2244.852</v>
      </c>
      <c r="M60" s="58" t="s">
        <v>231</v>
      </c>
      <c r="N60" s="55" t="s">
        <v>1</v>
      </c>
      <c r="O60" s="55" t="s">
        <v>408</v>
      </c>
      <c r="Q60" s="55" t="s">
        <v>115</v>
      </c>
      <c r="R60" s="2">
        <f>J66</f>
        <v>462.615</v>
      </c>
      <c r="S60" s="2">
        <f>K66</f>
        <v>28.424</v>
      </c>
      <c r="T60" s="2">
        <f>L66</f>
        <v>678.582</v>
      </c>
      <c r="U60" s="55" t="s">
        <v>1</v>
      </c>
      <c r="V60" s="60"/>
      <c r="W60" s="12"/>
      <c r="X60" s="60"/>
      <c r="Y60" s="85" t="s">
        <v>145</v>
      </c>
      <c r="Z60" s="60"/>
      <c r="AA60" s="60" t="s">
        <v>146</v>
      </c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 t="s">
        <v>133</v>
      </c>
      <c r="AV60" s="60"/>
      <c r="AW60" s="60"/>
      <c r="AX60" s="36"/>
      <c r="AY60" s="46" t="s">
        <v>147</v>
      </c>
      <c r="AZ60" s="60"/>
      <c r="BA60" s="60"/>
      <c r="BB60" s="86"/>
      <c r="BC60" s="12"/>
      <c r="BD60" s="60" t="s">
        <v>148</v>
      </c>
      <c r="BE60" s="60"/>
      <c r="BF60" s="60"/>
      <c r="BG60" s="60"/>
      <c r="BH60" s="60"/>
      <c r="BI60" s="12"/>
      <c r="BJ60" s="60"/>
      <c r="BK60" s="60"/>
      <c r="BL60" s="60"/>
      <c r="BM60" s="60"/>
      <c r="BN60" s="12"/>
      <c r="BO60" s="60"/>
      <c r="BP60" s="60"/>
      <c r="BQ60" s="60" t="s">
        <v>136</v>
      </c>
      <c r="BR60" s="86"/>
      <c r="BS60" s="7"/>
      <c r="BT60" s="85"/>
      <c r="BU60" s="26"/>
      <c r="BV60" s="60"/>
      <c r="BW60" s="28" t="s">
        <v>25</v>
      </c>
      <c r="BX60" s="26"/>
      <c r="BY60" s="71" t="s">
        <v>258</v>
      </c>
      <c r="BZ60" s="71" t="s">
        <v>258</v>
      </c>
      <c r="CA60" s="71" t="s">
        <v>258</v>
      </c>
      <c r="CB60" s="71" t="s">
        <v>258</v>
      </c>
      <c r="CC60" s="71" t="s">
        <v>258</v>
      </c>
      <c r="CD60" s="26"/>
      <c r="CE60" s="60"/>
      <c r="CF60" s="26"/>
      <c r="CG60" s="60"/>
      <c r="CH60" s="42"/>
      <c r="CL60" s="209" t="s">
        <v>420</v>
      </c>
      <c r="CM60" s="146"/>
      <c r="CN60" s="146"/>
      <c r="CO60" s="146"/>
      <c r="CP60" s="305" t="s">
        <v>507</v>
      </c>
      <c r="CQ60" s="175"/>
      <c r="CR60" s="12"/>
      <c r="CS60" s="175"/>
      <c r="CT60" s="12"/>
      <c r="CU60" s="175"/>
      <c r="CV60" s="332" t="s">
        <v>231</v>
      </c>
      <c r="CW60" s="208"/>
      <c r="CX60" s="177" t="s">
        <v>424</v>
      </c>
      <c r="CY60" s="146"/>
      <c r="CZ60" s="146"/>
      <c r="DA60" s="146"/>
      <c r="DB60" s="305" t="s">
        <v>515</v>
      </c>
      <c r="DC60" s="175"/>
      <c r="DD60" s="12"/>
      <c r="DE60" s="175"/>
      <c r="DF60" s="12"/>
      <c r="DG60" s="216"/>
      <c r="DH60" s="143" t="s">
        <v>231</v>
      </c>
      <c r="DJ60" s="369" t="s">
        <v>683</v>
      </c>
      <c r="DK60" s="461" t="s">
        <v>684</v>
      </c>
      <c r="DL60" s="369" t="s">
        <v>663</v>
      </c>
      <c r="DM60" s="369" t="s">
        <v>672</v>
      </c>
      <c r="DN60" s="369" t="s">
        <v>673</v>
      </c>
      <c r="DO60" s="462" t="s">
        <v>674</v>
      </c>
      <c r="DQ60" s="58" t="s">
        <v>231</v>
      </c>
    </row>
    <row r="61" spans="2:121" ht="19.5" customHeight="1" thickBot="1">
      <c r="B61" s="65" t="s">
        <v>254</v>
      </c>
      <c r="D61" s="445" t="s">
        <v>108</v>
      </c>
      <c r="F61" s="405">
        <v>2074550</v>
      </c>
      <c r="G61" s="378">
        <v>1450918</v>
      </c>
      <c r="H61" s="406">
        <v>1188428</v>
      </c>
      <c r="I61" s="119" t="s">
        <v>231</v>
      </c>
      <c r="J61" s="33">
        <f t="shared" si="44"/>
        <v>2074.55</v>
      </c>
      <c r="K61" s="33">
        <f t="shared" si="45"/>
        <v>1450.918</v>
      </c>
      <c r="L61" s="33">
        <f t="shared" si="46"/>
        <v>1188.428</v>
      </c>
      <c r="M61" s="58"/>
      <c r="N61" s="55" t="s">
        <v>1</v>
      </c>
      <c r="O61" s="62" t="s">
        <v>394</v>
      </c>
      <c r="Q61" s="58" t="s">
        <v>333</v>
      </c>
      <c r="R61" s="2">
        <f>R58+R59-R60</f>
        <v>-10519.816000000008</v>
      </c>
      <c r="S61" s="2">
        <f>S58+S59-S60</f>
        <v>2734.004</v>
      </c>
      <c r="T61" s="2">
        <f>T58+T59-T60</f>
        <v>6943.608999999999</v>
      </c>
      <c r="U61" s="55" t="s">
        <v>1</v>
      </c>
      <c r="V61" s="60"/>
      <c r="W61" s="12"/>
      <c r="X61" s="60"/>
      <c r="Y61" s="85" t="s">
        <v>149</v>
      </c>
      <c r="Z61" s="60"/>
      <c r="AA61" s="60" t="s">
        <v>150</v>
      </c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 t="s">
        <v>133</v>
      </c>
      <c r="AV61" s="60"/>
      <c r="AW61" s="60"/>
      <c r="AX61" s="36"/>
      <c r="AY61" s="46" t="s">
        <v>151</v>
      </c>
      <c r="AZ61" s="60"/>
      <c r="BA61" s="60"/>
      <c r="BB61" s="86"/>
      <c r="BC61" s="12"/>
      <c r="BD61" s="60" t="s">
        <v>152</v>
      </c>
      <c r="BE61" s="60"/>
      <c r="BF61" s="60"/>
      <c r="BG61" s="60"/>
      <c r="BH61" s="60"/>
      <c r="BI61" s="12"/>
      <c r="BJ61" s="60"/>
      <c r="BK61" s="60"/>
      <c r="BL61" s="60"/>
      <c r="BM61" s="60"/>
      <c r="BN61" s="12"/>
      <c r="BO61" s="60"/>
      <c r="BP61" s="60"/>
      <c r="BQ61" s="60" t="s">
        <v>136</v>
      </c>
      <c r="BR61" s="86"/>
      <c r="BS61" s="7"/>
      <c r="BT61" s="85"/>
      <c r="BU61" s="26" t="s">
        <v>29</v>
      </c>
      <c r="BV61" s="60"/>
      <c r="BW61" s="28"/>
      <c r="BX61" s="26"/>
      <c r="BY61" s="71" t="s">
        <v>258</v>
      </c>
      <c r="BZ61" s="71" t="s">
        <v>258</v>
      </c>
      <c r="CA61" s="71" t="s">
        <v>258</v>
      </c>
      <c r="CB61" s="71" t="s">
        <v>258</v>
      </c>
      <c r="CC61" s="71" t="s">
        <v>258</v>
      </c>
      <c r="CD61" s="26"/>
      <c r="CE61" s="60"/>
      <c r="CF61" s="26"/>
      <c r="CG61" s="60"/>
      <c r="CH61" s="42"/>
      <c r="CL61" s="210" t="s">
        <v>425</v>
      </c>
      <c r="CM61" s="211"/>
      <c r="CN61" s="211"/>
      <c r="CO61" s="211"/>
      <c r="CP61" s="333" t="s">
        <v>63</v>
      </c>
      <c r="CQ61" s="223"/>
      <c r="CR61" s="276"/>
      <c r="CS61" s="223"/>
      <c r="CT61" s="276"/>
      <c r="CU61" s="223"/>
      <c r="CV61" s="334" t="s">
        <v>231</v>
      </c>
      <c r="CW61" s="217"/>
      <c r="CX61" s="221" t="s">
        <v>426</v>
      </c>
      <c r="CY61" s="211"/>
      <c r="CZ61" s="211"/>
      <c r="DA61" s="359">
        <v>100</v>
      </c>
      <c r="DB61" s="333" t="s">
        <v>7</v>
      </c>
      <c r="DC61" s="223"/>
      <c r="DD61" s="276"/>
      <c r="DE61" s="223"/>
      <c r="DF61" s="276"/>
      <c r="DG61" s="219"/>
      <c r="DH61" s="143" t="s">
        <v>231</v>
      </c>
      <c r="DJ61" s="369" t="s">
        <v>685</v>
      </c>
      <c r="DK61" s="463" t="s">
        <v>686</v>
      </c>
      <c r="DL61" s="369" t="s">
        <v>652</v>
      </c>
      <c r="DM61" s="369" t="s">
        <v>652</v>
      </c>
      <c r="DN61" s="369" t="s">
        <v>653</v>
      </c>
      <c r="DO61" s="462" t="s">
        <v>654</v>
      </c>
      <c r="DQ61" s="58" t="s">
        <v>231</v>
      </c>
    </row>
    <row r="62" spans="2:121" ht="19.5" customHeight="1" thickBot="1">
      <c r="B62" s="65" t="s">
        <v>2367</v>
      </c>
      <c r="D62" s="445" t="s">
        <v>111</v>
      </c>
      <c r="F62" s="405">
        <v>0</v>
      </c>
      <c r="G62" s="378">
        <v>0</v>
      </c>
      <c r="H62" s="406">
        <v>0</v>
      </c>
      <c r="J62" s="33">
        <f aca="true" t="shared" si="48" ref="J62:J71">+F62/1000</f>
        <v>0</v>
      </c>
      <c r="K62" s="33">
        <f aca="true" t="shared" si="49" ref="K62:K71">+G62/1000</f>
        <v>0</v>
      </c>
      <c r="L62" s="33">
        <f aca="true" t="shared" si="50" ref="L62:L71">+H62/1000</f>
        <v>0</v>
      </c>
      <c r="M62" s="58" t="s">
        <v>231</v>
      </c>
      <c r="N62" s="55" t="s">
        <v>1</v>
      </c>
      <c r="O62" s="55" t="s">
        <v>411</v>
      </c>
      <c r="Q62" s="55" t="s">
        <v>395</v>
      </c>
      <c r="R62" s="2">
        <f>J53+J65+J69</f>
        <v>4.421</v>
      </c>
      <c r="S62" s="2">
        <f>K53+K65+K69</f>
        <v>10.356</v>
      </c>
      <c r="T62" s="2">
        <f>L53+L65+L69</f>
        <v>21.488</v>
      </c>
      <c r="U62" s="55" t="s">
        <v>1</v>
      </c>
      <c r="V62" s="60"/>
      <c r="W62" s="12"/>
      <c r="X62" s="60"/>
      <c r="Y62" s="85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36"/>
      <c r="AY62" s="46"/>
      <c r="AZ62" s="60"/>
      <c r="BA62" s="60"/>
      <c r="BB62" s="86"/>
      <c r="BC62" s="12"/>
      <c r="BD62" s="60"/>
      <c r="BE62" s="60"/>
      <c r="BF62" s="60"/>
      <c r="BG62" s="60"/>
      <c r="BH62" s="60"/>
      <c r="BI62" s="12"/>
      <c r="BJ62" s="60"/>
      <c r="BK62" s="60"/>
      <c r="BL62" s="60"/>
      <c r="BM62" s="60"/>
      <c r="BN62" s="12"/>
      <c r="BO62" s="60"/>
      <c r="BP62" s="60"/>
      <c r="BQ62" s="60"/>
      <c r="BR62" s="86"/>
      <c r="BS62" s="7"/>
      <c r="BT62" s="85"/>
      <c r="BU62" s="26"/>
      <c r="BV62" s="60"/>
      <c r="BW62" s="28" t="s">
        <v>32</v>
      </c>
      <c r="BX62" s="26"/>
      <c r="BY62" s="71" t="s">
        <v>258</v>
      </c>
      <c r="BZ62" s="71" t="s">
        <v>258</v>
      </c>
      <c r="CA62" s="71" t="s">
        <v>258</v>
      </c>
      <c r="CB62" s="71" t="s">
        <v>258</v>
      </c>
      <c r="CC62" s="71" t="s">
        <v>258</v>
      </c>
      <c r="CD62" s="26"/>
      <c r="CE62" s="60"/>
      <c r="CF62" s="26" t="s">
        <v>33</v>
      </c>
      <c r="CG62" s="60"/>
      <c r="CH62" s="42"/>
      <c r="DJ62" s="369" t="s">
        <v>687</v>
      </c>
      <c r="DK62" s="461" t="s">
        <v>688</v>
      </c>
      <c r="DL62" s="369" t="s">
        <v>652</v>
      </c>
      <c r="DM62" s="369" t="s">
        <v>652</v>
      </c>
      <c r="DN62" s="369" t="s">
        <v>653</v>
      </c>
      <c r="DO62" s="462" t="s">
        <v>654</v>
      </c>
      <c r="DQ62" s="58" t="s">
        <v>231</v>
      </c>
    </row>
    <row r="63" spans="2:121" ht="19.5" customHeight="1">
      <c r="B63" s="65" t="s">
        <v>2353</v>
      </c>
      <c r="D63" s="140" t="s">
        <v>388</v>
      </c>
      <c r="F63" s="405">
        <v>0</v>
      </c>
      <c r="G63" s="378">
        <v>0</v>
      </c>
      <c r="H63" s="406">
        <v>0</v>
      </c>
      <c r="I63" s="119" t="s">
        <v>231</v>
      </c>
      <c r="J63" s="33">
        <f t="shared" si="48"/>
        <v>0</v>
      </c>
      <c r="K63" s="33">
        <f t="shared" si="49"/>
        <v>0</v>
      </c>
      <c r="L63" s="33">
        <f t="shared" si="50"/>
        <v>0</v>
      </c>
      <c r="M63" s="58" t="s">
        <v>231</v>
      </c>
      <c r="N63" s="55" t="s">
        <v>1</v>
      </c>
      <c r="O63" s="55" t="s">
        <v>410</v>
      </c>
      <c r="Q63" s="55" t="s">
        <v>396</v>
      </c>
      <c r="R63" s="2">
        <f>J63+J68+J70</f>
        <v>0</v>
      </c>
      <c r="S63" s="2">
        <f>K63+K68+K70</f>
        <v>0</v>
      </c>
      <c r="T63" s="2">
        <f>L63+L68+L70</f>
        <v>0</v>
      </c>
      <c r="U63" s="55" t="s">
        <v>1</v>
      </c>
      <c r="V63" s="60"/>
      <c r="W63" s="12"/>
      <c r="X63" s="60"/>
      <c r="Y63" s="85"/>
      <c r="Z63" s="60"/>
      <c r="AA63" s="60" t="s">
        <v>153</v>
      </c>
      <c r="AB63" s="60"/>
      <c r="AC63" s="60"/>
      <c r="AD63" s="60"/>
      <c r="AE63" s="60"/>
      <c r="AF63" s="60"/>
      <c r="AG63" s="60"/>
      <c r="AH63" s="60"/>
      <c r="AI63" s="60"/>
      <c r="AJ63" s="12"/>
      <c r="AK63" s="60"/>
      <c r="AL63" s="60"/>
      <c r="AM63" s="60"/>
      <c r="AN63" s="12"/>
      <c r="AO63" s="60"/>
      <c r="AP63" s="60"/>
      <c r="AQ63" s="60"/>
      <c r="AR63" s="60"/>
      <c r="AS63" s="60"/>
      <c r="AT63" s="60"/>
      <c r="AU63" s="60"/>
      <c r="AV63" s="60"/>
      <c r="AW63" s="60"/>
      <c r="AX63" s="36"/>
      <c r="AY63" s="46" t="s">
        <v>154</v>
      </c>
      <c r="AZ63" s="60"/>
      <c r="BA63" s="60"/>
      <c r="BB63" s="86"/>
      <c r="BC63" s="12"/>
      <c r="BD63" s="12"/>
      <c r="BE63" s="60"/>
      <c r="BF63" s="14"/>
      <c r="BG63" s="60"/>
      <c r="BH63" s="60"/>
      <c r="BI63" s="12"/>
      <c r="BJ63" s="60"/>
      <c r="BK63" s="60"/>
      <c r="BL63" s="14"/>
      <c r="BM63" s="60"/>
      <c r="BN63" s="12"/>
      <c r="BO63" s="60"/>
      <c r="BP63" s="60"/>
      <c r="BQ63" s="60"/>
      <c r="BR63" s="86"/>
      <c r="BS63" s="7"/>
      <c r="BT63" s="85"/>
      <c r="BU63" s="26" t="s">
        <v>36</v>
      </c>
      <c r="BV63" s="60"/>
      <c r="BW63" s="28"/>
      <c r="BX63" s="26"/>
      <c r="BY63" s="71" t="s">
        <v>258</v>
      </c>
      <c r="BZ63" s="71" t="s">
        <v>258</v>
      </c>
      <c r="CA63" s="71" t="s">
        <v>258</v>
      </c>
      <c r="CB63" s="71" t="s">
        <v>258</v>
      </c>
      <c r="CC63" s="71" t="s">
        <v>258</v>
      </c>
      <c r="CD63" s="26"/>
      <c r="CE63" s="60"/>
      <c r="CF63" s="26"/>
      <c r="CG63" s="60"/>
      <c r="CH63" s="42"/>
      <c r="CL63" s="204" t="s">
        <v>335</v>
      </c>
      <c r="CM63" s="83"/>
      <c r="CN63" s="83"/>
      <c r="CO63" s="220" t="s">
        <v>440</v>
      </c>
      <c r="CP63" s="313" t="s">
        <v>502</v>
      </c>
      <c r="CQ63" s="222" t="s">
        <v>98</v>
      </c>
      <c r="CR63" s="313" t="s">
        <v>503</v>
      </c>
      <c r="CS63" s="222" t="s">
        <v>98</v>
      </c>
      <c r="CT63" s="313" t="s">
        <v>504</v>
      </c>
      <c r="CU63" s="215" t="s">
        <v>98</v>
      </c>
      <c r="CV63" s="188" t="s">
        <v>231</v>
      </c>
      <c r="CX63" s="204" t="s">
        <v>471</v>
      </c>
      <c r="CY63" s="83"/>
      <c r="CZ63" s="83"/>
      <c r="DA63" s="220" t="s">
        <v>440</v>
      </c>
      <c r="DB63" s="220" t="s">
        <v>287</v>
      </c>
      <c r="DC63" s="222"/>
      <c r="DD63" s="220" t="s">
        <v>288</v>
      </c>
      <c r="DE63" s="222"/>
      <c r="DF63" s="220" t="s">
        <v>222</v>
      </c>
      <c r="DG63" s="215"/>
      <c r="DH63" s="58" t="s">
        <v>231</v>
      </c>
      <c r="DJ63" s="369" t="s">
        <v>689</v>
      </c>
      <c r="DK63" s="463" t="s">
        <v>690</v>
      </c>
      <c r="DL63" s="369" t="s">
        <v>691</v>
      </c>
      <c r="DM63" s="369" t="s">
        <v>692</v>
      </c>
      <c r="DN63" s="369" t="s">
        <v>693</v>
      </c>
      <c r="DO63" s="462" t="s">
        <v>694</v>
      </c>
      <c r="DQ63" s="58" t="s">
        <v>231</v>
      </c>
    </row>
    <row r="64" spans="2:121" ht="19.5" customHeight="1" thickBot="1">
      <c r="B64" s="65" t="s">
        <v>2354</v>
      </c>
      <c r="D64" s="140" t="s">
        <v>113</v>
      </c>
      <c r="F64" s="405">
        <v>319343</v>
      </c>
      <c r="G64" s="378">
        <v>349394</v>
      </c>
      <c r="H64" s="406">
        <v>782661</v>
      </c>
      <c r="I64" s="119" t="s">
        <v>231</v>
      </c>
      <c r="J64" s="33">
        <f t="shared" si="48"/>
        <v>319.343</v>
      </c>
      <c r="K64" s="33">
        <f t="shared" si="49"/>
        <v>349.394</v>
      </c>
      <c r="L64" s="33">
        <f t="shared" si="50"/>
        <v>782.661</v>
      </c>
      <c r="M64" s="58"/>
      <c r="N64" s="55" t="s">
        <v>1</v>
      </c>
      <c r="O64" s="62" t="s">
        <v>397</v>
      </c>
      <c r="Q64" s="58" t="s">
        <v>334</v>
      </c>
      <c r="R64" s="2">
        <f>R61+R62-R63</f>
        <v>-10515.395000000008</v>
      </c>
      <c r="S64" s="2">
        <f>S61+S62-S63</f>
        <v>2744.36</v>
      </c>
      <c r="T64" s="2">
        <f>T61+T62-T63</f>
        <v>6965.096999999999</v>
      </c>
      <c r="U64" s="55" t="s">
        <v>1</v>
      </c>
      <c r="V64" s="60"/>
      <c r="W64" s="12"/>
      <c r="X64" s="60"/>
      <c r="Y64" s="90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0"/>
      <c r="AY64" s="91"/>
      <c r="AZ64" s="91"/>
      <c r="BA64" s="91"/>
      <c r="BB64" s="92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4"/>
      <c r="BS64" s="7"/>
      <c r="BT64" s="85"/>
      <c r="BU64" s="26"/>
      <c r="BV64" s="60"/>
      <c r="BW64" s="28" t="s">
        <v>38</v>
      </c>
      <c r="BX64" s="26"/>
      <c r="BY64" s="71" t="s">
        <v>258</v>
      </c>
      <c r="BZ64" s="71" t="s">
        <v>258</v>
      </c>
      <c r="CA64" s="71" t="s">
        <v>258</v>
      </c>
      <c r="CB64" s="71" t="s">
        <v>258</v>
      </c>
      <c r="CC64" s="71" t="s">
        <v>258</v>
      </c>
      <c r="CD64" s="26"/>
      <c r="CE64" s="60"/>
      <c r="CF64" s="26"/>
      <c r="CG64" s="60"/>
      <c r="CH64" s="42"/>
      <c r="CL64" s="85" t="s">
        <v>557</v>
      </c>
      <c r="CM64" s="60"/>
      <c r="CN64" s="60"/>
      <c r="CO64" s="60"/>
      <c r="CP64" s="305" t="s">
        <v>92</v>
      </c>
      <c r="CQ64" s="60"/>
      <c r="CR64" s="60"/>
      <c r="CS64" s="60"/>
      <c r="CT64" s="60"/>
      <c r="CU64" s="299"/>
      <c r="CX64" s="85" t="s">
        <v>469</v>
      </c>
      <c r="CY64" s="60"/>
      <c r="CZ64" s="60"/>
      <c r="DA64" s="146"/>
      <c r="DB64" s="305" t="s">
        <v>481</v>
      </c>
      <c r="DC64" s="12"/>
      <c r="DD64" s="12"/>
      <c r="DE64" s="12"/>
      <c r="DF64" s="12"/>
      <c r="DG64" s="278"/>
      <c r="DH64" s="58" t="s">
        <v>231</v>
      </c>
      <c r="DJ64" s="369" t="s">
        <v>695</v>
      </c>
      <c r="DK64" s="463" t="s">
        <v>696</v>
      </c>
      <c r="DL64" s="369" t="s">
        <v>691</v>
      </c>
      <c r="DM64" s="369" t="s">
        <v>692</v>
      </c>
      <c r="DN64" s="369" t="s">
        <v>693</v>
      </c>
      <c r="DO64" s="462" t="s">
        <v>694</v>
      </c>
      <c r="DQ64" s="58" t="s">
        <v>231</v>
      </c>
    </row>
    <row r="65" spans="2:121" ht="19.5" customHeight="1">
      <c r="B65" s="65" t="s">
        <v>2355</v>
      </c>
      <c r="D65" s="140" t="s">
        <v>391</v>
      </c>
      <c r="F65" s="405">
        <v>0</v>
      </c>
      <c r="G65" s="378">
        <v>0</v>
      </c>
      <c r="H65" s="406">
        <v>0</v>
      </c>
      <c r="I65" s="119"/>
      <c r="J65" s="33">
        <f t="shared" si="48"/>
        <v>0</v>
      </c>
      <c r="K65" s="33">
        <f t="shared" si="49"/>
        <v>0</v>
      </c>
      <c r="L65" s="33">
        <f t="shared" si="50"/>
        <v>0</v>
      </c>
      <c r="M65" s="58" t="s">
        <v>231</v>
      </c>
      <c r="N65" s="55" t="s">
        <v>1</v>
      </c>
      <c r="O65" s="55" t="s">
        <v>409</v>
      </c>
      <c r="Q65" s="55" t="s">
        <v>126</v>
      </c>
      <c r="R65" s="2">
        <f>J71</f>
        <v>-983.769</v>
      </c>
      <c r="S65" s="2">
        <f>K71</f>
        <v>8.309</v>
      </c>
      <c r="T65" s="2">
        <f>L71</f>
        <v>733.04</v>
      </c>
      <c r="U65" s="55" t="s">
        <v>1</v>
      </c>
      <c r="V65" s="60"/>
      <c r="W65" s="12"/>
      <c r="X65" s="60"/>
      <c r="Y65" s="85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9"/>
      <c r="BS65" s="7"/>
      <c r="BT65" s="85"/>
      <c r="BU65" s="26" t="s">
        <v>41</v>
      </c>
      <c r="BV65" s="60"/>
      <c r="BW65" s="28"/>
      <c r="BX65" s="26"/>
      <c r="BY65" s="71" t="s">
        <v>258</v>
      </c>
      <c r="BZ65" s="71" t="s">
        <v>258</v>
      </c>
      <c r="CA65" s="71" t="s">
        <v>258</v>
      </c>
      <c r="CB65" s="71" t="s">
        <v>258</v>
      </c>
      <c r="CC65" s="71" t="s">
        <v>258</v>
      </c>
      <c r="CD65" s="26"/>
      <c r="CE65" s="60"/>
      <c r="CF65" s="26"/>
      <c r="CG65" s="60"/>
      <c r="CH65" s="42"/>
      <c r="CL65" s="227" t="s">
        <v>428</v>
      </c>
      <c r="CM65" s="60"/>
      <c r="CN65" s="60"/>
      <c r="CO65" s="292">
        <v>100</v>
      </c>
      <c r="CP65" s="314" t="s">
        <v>516</v>
      </c>
      <c r="CQ65" s="60"/>
      <c r="CR65" s="60"/>
      <c r="CS65" s="316"/>
      <c r="CT65" s="274"/>
      <c r="CU65" s="228"/>
      <c r="CV65" s="189" t="s">
        <v>231</v>
      </c>
      <c r="CX65" s="85" t="s">
        <v>470</v>
      </c>
      <c r="CY65" s="60"/>
      <c r="CZ65" s="60"/>
      <c r="DA65" s="60"/>
      <c r="DB65" s="300" t="s">
        <v>2310</v>
      </c>
      <c r="DC65" s="324"/>
      <c r="DD65" s="154"/>
      <c r="DE65" s="324"/>
      <c r="DF65" s="154"/>
      <c r="DG65" s="266"/>
      <c r="DH65" s="58" t="s">
        <v>231</v>
      </c>
      <c r="DJ65" s="369" t="s">
        <v>697</v>
      </c>
      <c r="DK65" s="463" t="s">
        <v>698</v>
      </c>
      <c r="DL65" s="369" t="s">
        <v>691</v>
      </c>
      <c r="DM65" s="369" t="s">
        <v>692</v>
      </c>
      <c r="DN65" s="369" t="s">
        <v>693</v>
      </c>
      <c r="DO65" s="462" t="s">
        <v>694</v>
      </c>
      <c r="DQ65" s="58" t="s">
        <v>231</v>
      </c>
    </row>
    <row r="66" spans="2:121" ht="19.5" customHeight="1" thickBot="1">
      <c r="B66" s="65" t="s">
        <v>2356</v>
      </c>
      <c r="D66" s="140" t="s">
        <v>115</v>
      </c>
      <c r="F66" s="405">
        <v>462615</v>
      </c>
      <c r="G66" s="378">
        <v>28424</v>
      </c>
      <c r="H66" s="406">
        <v>678582</v>
      </c>
      <c r="I66" s="119" t="s">
        <v>231</v>
      </c>
      <c r="J66" s="33">
        <f t="shared" si="48"/>
        <v>462.615</v>
      </c>
      <c r="K66" s="33">
        <f t="shared" si="49"/>
        <v>28.424</v>
      </c>
      <c r="L66" s="33">
        <f t="shared" si="50"/>
        <v>678.582</v>
      </c>
      <c r="M66" s="58" t="s">
        <v>231</v>
      </c>
      <c r="N66" s="55" t="s">
        <v>1</v>
      </c>
      <c r="O66" s="62" t="s">
        <v>398</v>
      </c>
      <c r="Q66" s="58" t="s">
        <v>127</v>
      </c>
      <c r="R66" s="2">
        <f>R64-R65</f>
        <v>-9531.626000000007</v>
      </c>
      <c r="S66" s="2">
        <f>S64-S65</f>
        <v>2736.051</v>
      </c>
      <c r="T66" s="2">
        <f>T64-T65</f>
        <v>6232.056999999999</v>
      </c>
      <c r="U66" s="55" t="s">
        <v>1</v>
      </c>
      <c r="V66" s="60"/>
      <c r="W66" s="12"/>
      <c r="X66" s="60"/>
      <c r="Y66" s="36" t="s">
        <v>155</v>
      </c>
      <c r="Z66" s="60"/>
      <c r="AA66" s="60"/>
      <c r="AB66" s="60"/>
      <c r="AC66" s="60"/>
      <c r="AD66" s="60"/>
      <c r="AE66" s="60"/>
      <c r="AF66" s="60"/>
      <c r="AG66" s="60"/>
      <c r="AH66" s="12"/>
      <c r="AI66" s="60"/>
      <c r="AJ66" s="60"/>
      <c r="AK66" s="60"/>
      <c r="AL66" s="60"/>
      <c r="AM66" s="60"/>
      <c r="AN66" s="12"/>
      <c r="AO66" s="60"/>
      <c r="AP66" s="60"/>
      <c r="AQ66" s="60"/>
      <c r="AR66" s="60"/>
      <c r="AS66" s="60"/>
      <c r="AT66" s="60"/>
      <c r="AU66" s="12"/>
      <c r="AV66" s="46"/>
      <c r="AW66" s="60"/>
      <c r="AX66" s="12"/>
      <c r="AY66" s="60"/>
      <c r="AZ66" s="60"/>
      <c r="BA66" s="60"/>
      <c r="BB66" s="60"/>
      <c r="BC66" s="13"/>
      <c r="BD66" s="60"/>
      <c r="BE66" s="12"/>
      <c r="BF66" s="60"/>
      <c r="BG66" s="60"/>
      <c r="BH66" s="60"/>
      <c r="BI66" s="13"/>
      <c r="BJ66" s="12"/>
      <c r="BK66" s="60"/>
      <c r="BL66" s="12"/>
      <c r="BM66" s="60"/>
      <c r="BN66" s="60"/>
      <c r="BO66" s="12"/>
      <c r="BP66" s="60"/>
      <c r="BQ66" s="12"/>
      <c r="BR66" s="86"/>
      <c r="BS66" s="7"/>
      <c r="BT66" s="85"/>
      <c r="BU66" s="60"/>
      <c r="BV66" s="60"/>
      <c r="BW66" s="76" t="s">
        <v>43</v>
      </c>
      <c r="BX66" s="60"/>
      <c r="BY66" s="71" t="s">
        <v>258</v>
      </c>
      <c r="BZ66" s="71" t="s">
        <v>258</v>
      </c>
      <c r="CA66" s="71" t="s">
        <v>258</v>
      </c>
      <c r="CB66" s="71" t="s">
        <v>258</v>
      </c>
      <c r="CC66" s="71" t="s">
        <v>258</v>
      </c>
      <c r="CD66" s="60"/>
      <c r="CE66" s="60"/>
      <c r="CF66" s="26" t="s">
        <v>44</v>
      </c>
      <c r="CG66" s="60"/>
      <c r="CH66" s="86"/>
      <c r="CL66" s="229" t="s">
        <v>437</v>
      </c>
      <c r="CM66" s="60"/>
      <c r="CN66" s="60"/>
      <c r="CO66" s="317"/>
      <c r="CP66" s="305" t="s">
        <v>21</v>
      </c>
      <c r="CQ66" s="60"/>
      <c r="CR66" s="60"/>
      <c r="CS66" s="318"/>
      <c r="CT66" s="12"/>
      <c r="CU66" s="230"/>
      <c r="CV66" s="190" t="s">
        <v>231</v>
      </c>
      <c r="CX66" s="90" t="s">
        <v>496</v>
      </c>
      <c r="CY66" s="91"/>
      <c r="CZ66" s="91"/>
      <c r="DA66" s="308" t="s">
        <v>535</v>
      </c>
      <c r="DB66" s="349" t="s">
        <v>2311</v>
      </c>
      <c r="DC66" s="350"/>
      <c r="DD66" s="310"/>
      <c r="DE66" s="350"/>
      <c r="DF66" s="310"/>
      <c r="DG66" s="269"/>
      <c r="DJ66" s="369" t="s">
        <v>699</v>
      </c>
      <c r="DK66" s="463" t="s">
        <v>700</v>
      </c>
      <c r="DL66" s="369" t="s">
        <v>691</v>
      </c>
      <c r="DM66" s="369" t="s">
        <v>692</v>
      </c>
      <c r="DN66" s="369" t="s">
        <v>693</v>
      </c>
      <c r="DO66" s="462" t="s">
        <v>694</v>
      </c>
      <c r="DQ66" s="58" t="s">
        <v>231</v>
      </c>
    </row>
    <row r="67" spans="3:121" ht="19.5" customHeight="1" thickBot="1">
      <c r="C67" s="137" t="s">
        <v>225</v>
      </c>
      <c r="D67" s="445" t="s">
        <v>118</v>
      </c>
      <c r="E67" s="111" t="s">
        <v>2280</v>
      </c>
      <c r="F67" s="405">
        <v>14497</v>
      </c>
      <c r="G67" s="378">
        <v>10292</v>
      </c>
      <c r="H67" s="406">
        <v>6475</v>
      </c>
      <c r="I67" s="119" t="s">
        <v>231</v>
      </c>
      <c r="J67" s="33">
        <f t="shared" si="48"/>
        <v>14.497</v>
      </c>
      <c r="K67" s="33">
        <f t="shared" si="49"/>
        <v>10.292</v>
      </c>
      <c r="L67" s="33">
        <f t="shared" si="50"/>
        <v>6.475</v>
      </c>
      <c r="M67" s="58" t="s">
        <v>231</v>
      </c>
      <c r="N67" s="55" t="s">
        <v>1</v>
      </c>
      <c r="O67" s="59" t="s">
        <v>0</v>
      </c>
      <c r="P67" s="59" t="s">
        <v>0</v>
      </c>
      <c r="Q67" s="59" t="s">
        <v>0</v>
      </c>
      <c r="R67" s="59" t="s">
        <v>0</v>
      </c>
      <c r="S67" s="59" t="s">
        <v>0</v>
      </c>
      <c r="T67" s="59" t="s">
        <v>0</v>
      </c>
      <c r="U67" s="55" t="s">
        <v>1</v>
      </c>
      <c r="V67" s="60"/>
      <c r="W67" s="12"/>
      <c r="X67" s="12"/>
      <c r="Y67" s="38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7"/>
      <c r="BS67" s="7"/>
      <c r="BT67" s="85"/>
      <c r="BU67" s="26" t="s">
        <v>47</v>
      </c>
      <c r="BV67" s="60"/>
      <c r="BW67" s="28"/>
      <c r="BX67" s="26"/>
      <c r="BY67" s="71" t="s">
        <v>258</v>
      </c>
      <c r="BZ67" s="71" t="s">
        <v>258</v>
      </c>
      <c r="CA67" s="71" t="s">
        <v>258</v>
      </c>
      <c r="CB67" s="71" t="s">
        <v>258</v>
      </c>
      <c r="CC67" s="71" t="s">
        <v>258</v>
      </c>
      <c r="CD67" s="26"/>
      <c r="CE67" s="60"/>
      <c r="CF67" s="26"/>
      <c r="CG67" s="60"/>
      <c r="CH67" s="42"/>
      <c r="CL67" s="231" t="s">
        <v>438</v>
      </c>
      <c r="CM67" s="60"/>
      <c r="CN67" s="60"/>
      <c r="CO67" s="317"/>
      <c r="CP67" s="305" t="s">
        <v>99</v>
      </c>
      <c r="CQ67" s="60"/>
      <c r="CR67" s="60"/>
      <c r="CS67" s="318"/>
      <c r="CT67" s="12"/>
      <c r="CU67" s="230"/>
      <c r="CV67" s="190" t="s">
        <v>231</v>
      </c>
      <c r="DH67" s="58" t="s">
        <v>231</v>
      </c>
      <c r="DJ67" s="369" t="s">
        <v>701</v>
      </c>
      <c r="DK67" s="461" t="s">
        <v>702</v>
      </c>
      <c r="DL67" s="369" t="s">
        <v>691</v>
      </c>
      <c r="DM67" s="369" t="s">
        <v>703</v>
      </c>
      <c r="DN67" s="369" t="s">
        <v>704</v>
      </c>
      <c r="DO67" s="462" t="s">
        <v>705</v>
      </c>
      <c r="DQ67" s="58" t="s">
        <v>231</v>
      </c>
    </row>
    <row r="68" spans="2:121" ht="19.5" customHeight="1">
      <c r="B68" s="65" t="s">
        <v>2357</v>
      </c>
      <c r="D68" s="140" t="s">
        <v>392</v>
      </c>
      <c r="F68" s="405">
        <v>0</v>
      </c>
      <c r="G68" s="378">
        <v>0</v>
      </c>
      <c r="H68" s="406">
        <v>0</v>
      </c>
      <c r="I68" s="119"/>
      <c r="J68" s="33">
        <f t="shared" si="48"/>
        <v>0</v>
      </c>
      <c r="K68" s="33">
        <f t="shared" si="49"/>
        <v>0</v>
      </c>
      <c r="L68" s="33">
        <f t="shared" si="50"/>
        <v>0</v>
      </c>
      <c r="M68" s="58" t="s">
        <v>231</v>
      </c>
      <c r="N68" s="55" t="s">
        <v>1</v>
      </c>
      <c r="O68" s="55" t="s">
        <v>168</v>
      </c>
      <c r="R68" s="55">
        <f>$R$7</f>
        <v>2020</v>
      </c>
      <c r="S68" s="55">
        <f>$S$7</f>
        <v>2021</v>
      </c>
      <c r="T68" s="55">
        <f>$T$7</f>
        <v>2022</v>
      </c>
      <c r="U68" s="55" t="s">
        <v>1</v>
      </c>
      <c r="V68" s="60"/>
      <c r="W68" s="12"/>
      <c r="X68" s="60"/>
      <c r="Y68" s="85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86"/>
      <c r="BS68" s="7"/>
      <c r="BT68" s="85"/>
      <c r="BU68" s="26" t="s">
        <v>50</v>
      </c>
      <c r="BV68" s="60"/>
      <c r="BW68" s="28" t="s">
        <v>51</v>
      </c>
      <c r="BX68" s="26"/>
      <c r="BY68" s="71" t="s">
        <v>258</v>
      </c>
      <c r="BZ68" s="71" t="s">
        <v>258</v>
      </c>
      <c r="CA68" s="71" t="s">
        <v>258</v>
      </c>
      <c r="CB68" s="71" t="s">
        <v>258</v>
      </c>
      <c r="CC68" s="71" t="s">
        <v>258</v>
      </c>
      <c r="CD68" s="26"/>
      <c r="CE68" s="26"/>
      <c r="CF68" s="29" t="s">
        <v>52</v>
      </c>
      <c r="CG68" s="29" t="s">
        <v>52</v>
      </c>
      <c r="CH68" s="43" t="s">
        <v>52</v>
      </c>
      <c r="CL68" s="232" t="s">
        <v>429</v>
      </c>
      <c r="CM68" s="60"/>
      <c r="CN68" s="60"/>
      <c r="CO68" s="301" t="s">
        <v>521</v>
      </c>
      <c r="CP68" s="314" t="s">
        <v>517</v>
      </c>
      <c r="CQ68" s="60"/>
      <c r="CR68" s="60"/>
      <c r="CS68" s="318"/>
      <c r="CT68" s="274"/>
      <c r="CU68" s="230"/>
      <c r="CV68" s="190" t="s">
        <v>231</v>
      </c>
      <c r="CX68" s="244" t="s">
        <v>472</v>
      </c>
      <c r="CY68" s="83"/>
      <c r="CZ68" s="83"/>
      <c r="DA68" s="83"/>
      <c r="DB68" s="220" t="s">
        <v>287</v>
      </c>
      <c r="DC68" s="222"/>
      <c r="DD68" s="220" t="s">
        <v>288</v>
      </c>
      <c r="DE68" s="222"/>
      <c r="DF68" s="220" t="s">
        <v>222</v>
      </c>
      <c r="DG68" s="84"/>
      <c r="DH68" s="58" t="s">
        <v>231</v>
      </c>
      <c r="DJ68" s="369" t="s">
        <v>706</v>
      </c>
      <c r="DK68" s="463" t="s">
        <v>707</v>
      </c>
      <c r="DL68" s="369" t="s">
        <v>691</v>
      </c>
      <c r="DM68" s="369" t="s">
        <v>703</v>
      </c>
      <c r="DN68" s="369" t="s">
        <v>704</v>
      </c>
      <c r="DO68" s="462" t="s">
        <v>705</v>
      </c>
      <c r="DQ68" s="58" t="s">
        <v>231</v>
      </c>
    </row>
    <row r="69" spans="2:121" ht="19.5" customHeight="1">
      <c r="B69" s="65" t="s">
        <v>2358</v>
      </c>
      <c r="D69" s="445" t="s">
        <v>389</v>
      </c>
      <c r="F69" s="405">
        <v>0</v>
      </c>
      <c r="G69" s="378">
        <v>0</v>
      </c>
      <c r="H69" s="406">
        <v>0</v>
      </c>
      <c r="I69" s="119" t="s">
        <v>231</v>
      </c>
      <c r="J69" s="33">
        <f t="shared" si="48"/>
        <v>0</v>
      </c>
      <c r="K69" s="33">
        <f t="shared" si="49"/>
        <v>0</v>
      </c>
      <c r="L69" s="33">
        <f t="shared" si="50"/>
        <v>0</v>
      </c>
      <c r="M69" s="58" t="s">
        <v>231</v>
      </c>
      <c r="N69" s="55" t="s">
        <v>1</v>
      </c>
      <c r="O69" s="59" t="s">
        <v>3</v>
      </c>
      <c r="P69" s="59" t="s">
        <v>3</v>
      </c>
      <c r="Q69" s="59" t="s">
        <v>3</v>
      </c>
      <c r="R69" s="59" t="s">
        <v>3</v>
      </c>
      <c r="S69" s="59" t="s">
        <v>3</v>
      </c>
      <c r="T69" s="59" t="s">
        <v>3</v>
      </c>
      <c r="U69" s="55" t="s">
        <v>1</v>
      </c>
      <c r="V69" s="60"/>
      <c r="W69" s="12"/>
      <c r="X69" s="12"/>
      <c r="Y69" s="85"/>
      <c r="Z69" s="60"/>
      <c r="AA69" s="60"/>
      <c r="AB69" s="60"/>
      <c r="AC69" s="60"/>
      <c r="AD69" s="60"/>
      <c r="AE69" s="60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6" t="s">
        <v>158</v>
      </c>
      <c r="AS69" s="97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8"/>
      <c r="BF69" s="97"/>
      <c r="BG69" s="98"/>
      <c r="BH69" s="98"/>
      <c r="BI69" s="98"/>
      <c r="BJ69" s="97"/>
      <c r="BK69" s="98"/>
      <c r="BL69" s="98"/>
      <c r="BM69" s="98"/>
      <c r="BN69" s="97"/>
      <c r="BO69" s="95"/>
      <c r="BP69" s="12"/>
      <c r="BQ69" s="60"/>
      <c r="BR69" s="86"/>
      <c r="BS69" s="7"/>
      <c r="BT69" s="85"/>
      <c r="BU69" s="60"/>
      <c r="BV69" s="60"/>
      <c r="BW69" s="28"/>
      <c r="BX69" s="26"/>
      <c r="BY69" s="71" t="s">
        <v>258</v>
      </c>
      <c r="BZ69" s="71" t="s">
        <v>258</v>
      </c>
      <c r="CA69" s="71" t="s">
        <v>258</v>
      </c>
      <c r="CB69" s="71" t="s">
        <v>258</v>
      </c>
      <c r="CC69" s="71" t="s">
        <v>258</v>
      </c>
      <c r="CD69" s="26"/>
      <c r="CE69" s="60"/>
      <c r="CF69" s="60"/>
      <c r="CG69" s="60"/>
      <c r="CH69" s="42"/>
      <c r="CL69" s="229" t="s">
        <v>430</v>
      </c>
      <c r="CM69" s="60"/>
      <c r="CN69" s="60"/>
      <c r="CO69" s="301" t="s">
        <v>2297</v>
      </c>
      <c r="CP69" s="305" t="s">
        <v>518</v>
      </c>
      <c r="CQ69" s="60"/>
      <c r="CR69" s="60"/>
      <c r="CS69" s="318"/>
      <c r="CT69" s="12"/>
      <c r="CU69" s="230"/>
      <c r="CV69" s="190" t="s">
        <v>231</v>
      </c>
      <c r="CX69" s="85" t="s">
        <v>546</v>
      </c>
      <c r="CY69" s="60"/>
      <c r="CZ69" s="60"/>
      <c r="DA69" s="60"/>
      <c r="DB69" s="305" t="s">
        <v>536</v>
      </c>
      <c r="DC69" s="325"/>
      <c r="DD69" s="12"/>
      <c r="DE69" s="325"/>
      <c r="DF69" s="12"/>
      <c r="DG69" s="263"/>
      <c r="DH69" s="58" t="s">
        <v>231</v>
      </c>
      <c r="DJ69" s="369" t="s">
        <v>708</v>
      </c>
      <c r="DK69" s="463" t="s">
        <v>709</v>
      </c>
      <c r="DL69" s="369" t="s">
        <v>691</v>
      </c>
      <c r="DM69" s="369" t="s">
        <v>703</v>
      </c>
      <c r="DN69" s="369" t="s">
        <v>704</v>
      </c>
      <c r="DO69" s="462" t="s">
        <v>705</v>
      </c>
      <c r="DQ69" s="58" t="s">
        <v>231</v>
      </c>
    </row>
    <row r="70" spans="2:121" ht="19.5" customHeight="1">
      <c r="B70" s="65" t="s">
        <v>2359</v>
      </c>
      <c r="D70" s="445" t="s">
        <v>390</v>
      </c>
      <c r="F70" s="405">
        <v>0</v>
      </c>
      <c r="G70" s="378">
        <v>0</v>
      </c>
      <c r="H70" s="406">
        <v>0</v>
      </c>
      <c r="I70" s="119" t="s">
        <v>231</v>
      </c>
      <c r="J70" s="33">
        <f t="shared" si="48"/>
        <v>0</v>
      </c>
      <c r="K70" s="33">
        <f t="shared" si="49"/>
        <v>0</v>
      </c>
      <c r="L70" s="33">
        <f t="shared" si="50"/>
        <v>0</v>
      </c>
      <c r="M70" s="58" t="s">
        <v>231</v>
      </c>
      <c r="N70" s="55" t="s">
        <v>1</v>
      </c>
      <c r="O70" s="55" t="s">
        <v>469</v>
      </c>
      <c r="Q70" s="58" t="s">
        <v>481</v>
      </c>
      <c r="R70" s="55">
        <f>+J75</f>
        <v>0</v>
      </c>
      <c r="S70" s="55">
        <f>+K75</f>
        <v>762</v>
      </c>
      <c r="T70" s="55">
        <f>+L75</f>
        <v>2603.5</v>
      </c>
      <c r="U70" s="55" t="s">
        <v>1</v>
      </c>
      <c r="V70" s="60"/>
      <c r="W70" s="12"/>
      <c r="X70" s="60"/>
      <c r="Y70" s="85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12"/>
      <c r="BQ70" s="60"/>
      <c r="BR70" s="86"/>
      <c r="BS70" s="7"/>
      <c r="BT70" s="85"/>
      <c r="BU70" s="26" t="s">
        <v>57</v>
      </c>
      <c r="BV70" s="60"/>
      <c r="BW70" s="28" t="s">
        <v>58</v>
      </c>
      <c r="BX70" s="26"/>
      <c r="BY70" s="71" t="s">
        <v>258</v>
      </c>
      <c r="BZ70" s="71" t="s">
        <v>258</v>
      </c>
      <c r="CA70" s="71" t="s">
        <v>258</v>
      </c>
      <c r="CB70" s="71" t="s">
        <v>258</v>
      </c>
      <c r="CC70" s="71" t="s">
        <v>258</v>
      </c>
      <c r="CD70" s="26"/>
      <c r="CE70" s="60"/>
      <c r="CF70" s="26" t="s">
        <v>59</v>
      </c>
      <c r="CG70" s="60"/>
      <c r="CH70" s="42"/>
      <c r="CL70" s="229" t="s">
        <v>431</v>
      </c>
      <c r="CM70" s="60"/>
      <c r="CN70" s="60"/>
      <c r="CO70" s="301" t="s">
        <v>2298</v>
      </c>
      <c r="CP70" s="305" t="s">
        <v>551</v>
      </c>
      <c r="CQ70" s="60"/>
      <c r="CR70" s="60"/>
      <c r="CS70" s="318"/>
      <c r="CT70" s="12"/>
      <c r="CU70" s="230"/>
      <c r="CV70" s="190" t="s">
        <v>231</v>
      </c>
      <c r="CX70" s="85" t="s">
        <v>547</v>
      </c>
      <c r="CY70" s="60"/>
      <c r="CZ70" s="60"/>
      <c r="DA70" s="60"/>
      <c r="DB70" s="305" t="s">
        <v>537</v>
      </c>
      <c r="DC70" s="325"/>
      <c r="DD70" s="12"/>
      <c r="DE70" s="325"/>
      <c r="DF70" s="12"/>
      <c r="DG70" s="263"/>
      <c r="DH70" s="58" t="s">
        <v>231</v>
      </c>
      <c r="DJ70" s="369" t="s">
        <v>710</v>
      </c>
      <c r="DK70" s="463" t="s">
        <v>711</v>
      </c>
      <c r="DL70" s="369" t="s">
        <v>691</v>
      </c>
      <c r="DM70" s="369" t="s">
        <v>703</v>
      </c>
      <c r="DN70" s="369" t="s">
        <v>704</v>
      </c>
      <c r="DO70" s="462" t="s">
        <v>705</v>
      </c>
      <c r="DQ70" s="58" t="s">
        <v>231</v>
      </c>
    </row>
    <row r="71" spans="2:121" ht="19.5" customHeight="1" thickBot="1">
      <c r="B71" s="65" t="s">
        <v>2368</v>
      </c>
      <c r="D71" s="140" t="s">
        <v>126</v>
      </c>
      <c r="F71" s="399">
        <v>-983769</v>
      </c>
      <c r="G71" s="409">
        <v>8309</v>
      </c>
      <c r="H71" s="410">
        <v>733040</v>
      </c>
      <c r="I71" s="119" t="s">
        <v>231</v>
      </c>
      <c r="J71" s="33">
        <f t="shared" si="48"/>
        <v>-983.769</v>
      </c>
      <c r="K71" s="33">
        <f t="shared" si="49"/>
        <v>8.309</v>
      </c>
      <c r="L71" s="33">
        <f t="shared" si="50"/>
        <v>733.04</v>
      </c>
      <c r="M71" s="58" t="s">
        <v>231</v>
      </c>
      <c r="N71" s="55" t="s">
        <v>1</v>
      </c>
      <c r="O71" s="55" t="s">
        <v>447</v>
      </c>
      <c r="Q71" s="58" t="s">
        <v>448</v>
      </c>
      <c r="R71" s="55">
        <f>+J52</f>
        <v>2389.916</v>
      </c>
      <c r="S71" s="55">
        <f>+K52</f>
        <v>3408.532</v>
      </c>
      <c r="T71" s="55">
        <f>+L52</f>
        <v>3975.43</v>
      </c>
      <c r="U71" s="55" t="s">
        <v>1</v>
      </c>
      <c r="V71" s="60"/>
      <c r="W71" s="12"/>
      <c r="X71" s="60"/>
      <c r="Y71" s="85"/>
      <c r="Z71" s="60"/>
      <c r="AA71" s="60"/>
      <c r="AB71" s="60"/>
      <c r="AC71" s="60"/>
      <c r="AD71" s="60"/>
      <c r="AE71" s="60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7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7"/>
      <c r="BF71" s="97"/>
      <c r="BG71" s="97"/>
      <c r="BH71" s="97"/>
      <c r="BI71" s="97"/>
      <c r="BJ71" s="97"/>
      <c r="BK71" s="97"/>
      <c r="BL71" s="97"/>
      <c r="BM71" s="97"/>
      <c r="BN71" s="95"/>
      <c r="BO71" s="95"/>
      <c r="BP71" s="12"/>
      <c r="BQ71" s="60"/>
      <c r="BR71" s="86"/>
      <c r="BS71" s="7"/>
      <c r="BT71" s="85"/>
      <c r="BU71" s="60"/>
      <c r="BV71" s="60"/>
      <c r="BW71" s="28"/>
      <c r="BX71" s="26"/>
      <c r="BY71" s="71" t="s">
        <v>258</v>
      </c>
      <c r="BZ71" s="71" t="s">
        <v>258</v>
      </c>
      <c r="CA71" s="71" t="s">
        <v>258</v>
      </c>
      <c r="CB71" s="71" t="s">
        <v>258</v>
      </c>
      <c r="CC71" s="71" t="s">
        <v>258</v>
      </c>
      <c r="CD71" s="26"/>
      <c r="CE71" s="60"/>
      <c r="CF71" s="26"/>
      <c r="CG71" s="60"/>
      <c r="CH71" s="42"/>
      <c r="CL71" s="229" t="s">
        <v>439</v>
      </c>
      <c r="CM71" s="60"/>
      <c r="CN71" s="60"/>
      <c r="CO71" s="495" t="s">
        <v>2392</v>
      </c>
      <c r="CP71" s="315" t="s">
        <v>554</v>
      </c>
      <c r="CQ71" s="60"/>
      <c r="CR71" s="60"/>
      <c r="CS71" s="318"/>
      <c r="CT71" s="275"/>
      <c r="CU71" s="230"/>
      <c r="CV71" s="190" t="s">
        <v>231</v>
      </c>
      <c r="CX71" s="90" t="s">
        <v>548</v>
      </c>
      <c r="CY71" s="91"/>
      <c r="CZ71" s="91"/>
      <c r="DA71" s="91"/>
      <c r="DB71" s="312" t="s">
        <v>545</v>
      </c>
      <c r="DC71" s="348"/>
      <c r="DD71" s="312"/>
      <c r="DE71" s="348"/>
      <c r="DF71" s="312"/>
      <c r="DG71" s="265"/>
      <c r="DJ71" s="369" t="s">
        <v>712</v>
      </c>
      <c r="DK71" s="463" t="s">
        <v>713</v>
      </c>
      <c r="DL71" s="369" t="s">
        <v>691</v>
      </c>
      <c r="DM71" s="369" t="s">
        <v>703</v>
      </c>
      <c r="DN71" s="369" t="s">
        <v>704</v>
      </c>
      <c r="DO71" s="462" t="s">
        <v>705</v>
      </c>
      <c r="DQ71" s="58" t="s">
        <v>231</v>
      </c>
    </row>
    <row r="72" spans="2:121" ht="19.5" customHeight="1" thickBot="1" thickTop="1">
      <c r="B72" s="424" t="s">
        <v>2404</v>
      </c>
      <c r="C72" s="54"/>
      <c r="D72" s="140"/>
      <c r="E72" s="54"/>
      <c r="F72" s="128"/>
      <c r="G72" s="128"/>
      <c r="H72" s="128"/>
      <c r="I72" s="120"/>
      <c r="J72" s="485" t="s">
        <v>231</v>
      </c>
      <c r="K72" s="120"/>
      <c r="L72" s="120"/>
      <c r="M72" s="58" t="s">
        <v>231</v>
      </c>
      <c r="N72" s="55" t="s">
        <v>1</v>
      </c>
      <c r="O72" s="55" t="s">
        <v>365</v>
      </c>
      <c r="Q72" s="58" t="s">
        <v>46</v>
      </c>
      <c r="R72" s="50">
        <f>+R22</f>
        <v>45523.058</v>
      </c>
      <c r="S72" s="50">
        <f>+S22</f>
        <v>34292.592</v>
      </c>
      <c r="T72" s="50">
        <f>+T22</f>
        <v>50555.692</v>
      </c>
      <c r="U72" s="55" t="s">
        <v>1</v>
      </c>
      <c r="V72" s="60"/>
      <c r="W72" s="12"/>
      <c r="X72" s="60"/>
      <c r="Y72" s="85"/>
      <c r="Z72" s="60"/>
      <c r="AA72" s="60"/>
      <c r="AB72" s="60"/>
      <c r="AC72" s="60"/>
      <c r="AD72" s="60"/>
      <c r="AE72" s="60"/>
      <c r="AF72" s="95"/>
      <c r="AG72" s="95"/>
      <c r="AH72" s="95"/>
      <c r="AI72" s="95"/>
      <c r="AJ72" s="96" t="s">
        <v>161</v>
      </c>
      <c r="AK72" s="95"/>
      <c r="AL72" s="95"/>
      <c r="AM72" s="95"/>
      <c r="AN72" s="95"/>
      <c r="AO72" s="60"/>
      <c r="AP72" s="95"/>
      <c r="AQ72" s="95"/>
      <c r="AR72" s="95"/>
      <c r="AS72" s="97"/>
      <c r="AT72" s="95"/>
      <c r="AU72" s="95"/>
      <c r="AV72" s="95"/>
      <c r="AW72" s="95"/>
      <c r="AX72" s="96" t="s">
        <v>161</v>
      </c>
      <c r="AY72" s="95"/>
      <c r="AZ72" s="95"/>
      <c r="BA72" s="95"/>
      <c r="BB72" s="95"/>
      <c r="BC72" s="95"/>
      <c r="BD72" s="95"/>
      <c r="BE72" s="98"/>
      <c r="BF72" s="97"/>
      <c r="BG72" s="98"/>
      <c r="BH72" s="98"/>
      <c r="BI72" s="98"/>
      <c r="BJ72" s="97"/>
      <c r="BK72" s="98"/>
      <c r="BL72" s="98"/>
      <c r="BM72" s="98"/>
      <c r="BN72" s="97"/>
      <c r="BO72" s="95"/>
      <c r="BP72" s="12"/>
      <c r="BQ72" s="60"/>
      <c r="BR72" s="86"/>
      <c r="BS72" s="7"/>
      <c r="BT72" s="85"/>
      <c r="BU72" s="60"/>
      <c r="BV72" s="60"/>
      <c r="BW72" s="28" t="s">
        <v>61</v>
      </c>
      <c r="BX72" s="26"/>
      <c r="BY72" s="71" t="s">
        <v>258</v>
      </c>
      <c r="BZ72" s="71" t="s">
        <v>258</v>
      </c>
      <c r="CA72" s="71" t="s">
        <v>258</v>
      </c>
      <c r="CB72" s="71" t="s">
        <v>258</v>
      </c>
      <c r="CC72" s="71" t="s">
        <v>258</v>
      </c>
      <c r="CD72" s="26"/>
      <c r="CE72" s="60"/>
      <c r="CF72" s="26"/>
      <c r="CG72" s="60"/>
      <c r="CH72" s="42"/>
      <c r="CL72" s="232" t="s">
        <v>452</v>
      </c>
      <c r="CM72" s="60"/>
      <c r="CN72" s="60"/>
      <c r="CO72" s="301" t="s">
        <v>524</v>
      </c>
      <c r="CP72" s="314" t="s">
        <v>519</v>
      </c>
      <c r="CQ72" s="60"/>
      <c r="CR72" s="60"/>
      <c r="CS72" s="318"/>
      <c r="CT72" s="274"/>
      <c r="CU72" s="230"/>
      <c r="CV72" s="190" t="s">
        <v>231</v>
      </c>
      <c r="DH72" s="58" t="s">
        <v>231</v>
      </c>
      <c r="DJ72" s="369" t="s">
        <v>714</v>
      </c>
      <c r="DK72" s="461" t="s">
        <v>715</v>
      </c>
      <c r="DL72" s="369" t="s">
        <v>691</v>
      </c>
      <c r="DM72" s="369" t="s">
        <v>716</v>
      </c>
      <c r="DN72" s="369" t="s">
        <v>717</v>
      </c>
      <c r="DO72" s="462" t="s">
        <v>718</v>
      </c>
      <c r="DQ72" s="58" t="s">
        <v>231</v>
      </c>
    </row>
    <row r="73" spans="2:121" ht="19.5" customHeight="1" thickBot="1" thickTop="1">
      <c r="B73" s="65" t="s">
        <v>2369</v>
      </c>
      <c r="D73" s="140" t="s">
        <v>127</v>
      </c>
      <c r="F73" s="411">
        <v>-9531625</v>
      </c>
      <c r="G73" s="412">
        <v>2736051</v>
      </c>
      <c r="H73" s="413">
        <v>6232057</v>
      </c>
      <c r="I73" s="119" t="s">
        <v>231</v>
      </c>
      <c r="J73" s="33">
        <f>+F73/1000</f>
        <v>-9531.625</v>
      </c>
      <c r="K73" s="33">
        <f>+G73/1000</f>
        <v>2736.051</v>
      </c>
      <c r="L73" s="33">
        <f>+H73/1000</f>
        <v>6232.057</v>
      </c>
      <c r="M73" s="58" t="s">
        <v>231</v>
      </c>
      <c r="N73" s="55" t="s">
        <v>1</v>
      </c>
      <c r="O73" s="55" t="s">
        <v>368</v>
      </c>
      <c r="P73" s="58"/>
      <c r="Q73" s="55" t="s">
        <v>369</v>
      </c>
      <c r="R73" s="2">
        <f>+J25+J26+J27</f>
        <v>6749.401</v>
      </c>
      <c r="S73" s="2">
        <f>+K25+K26+K27</f>
        <v>5129.13</v>
      </c>
      <c r="T73" s="2">
        <f>+L25+L26+L27</f>
        <v>5642.956999999999</v>
      </c>
      <c r="U73" s="55" t="s">
        <v>1</v>
      </c>
      <c r="V73" s="60"/>
      <c r="W73" s="12"/>
      <c r="X73" s="60"/>
      <c r="Y73" s="85"/>
      <c r="Z73" s="60"/>
      <c r="AA73" s="60"/>
      <c r="AB73" s="60"/>
      <c r="AC73" s="60"/>
      <c r="AD73" s="60"/>
      <c r="AE73" s="60"/>
      <c r="AF73" s="95"/>
      <c r="AG73" s="95"/>
      <c r="AH73" s="95"/>
      <c r="AI73" s="95"/>
      <c r="AJ73" s="96" t="s">
        <v>163</v>
      </c>
      <c r="AK73" s="95"/>
      <c r="AL73" s="95"/>
      <c r="AM73" s="95"/>
      <c r="AN73" s="95"/>
      <c r="AO73" s="95"/>
      <c r="AP73" s="95"/>
      <c r="AQ73" s="95"/>
      <c r="AR73" s="95"/>
      <c r="AS73" s="97"/>
      <c r="AT73" s="95"/>
      <c r="AU73" s="95"/>
      <c r="AV73" s="95"/>
      <c r="AW73" s="95"/>
      <c r="AX73" s="96" t="s">
        <v>164</v>
      </c>
      <c r="AY73" s="95"/>
      <c r="AZ73" s="95"/>
      <c r="BA73" s="95"/>
      <c r="BB73" s="95"/>
      <c r="BC73" s="95"/>
      <c r="BD73" s="95"/>
      <c r="BE73" s="98"/>
      <c r="BF73" s="97"/>
      <c r="BG73" s="98"/>
      <c r="BH73" s="98"/>
      <c r="BI73" s="98"/>
      <c r="BJ73" s="97"/>
      <c r="BK73" s="98"/>
      <c r="BL73" s="98"/>
      <c r="BM73" s="98"/>
      <c r="BN73" s="97"/>
      <c r="BO73" s="95"/>
      <c r="BP73" s="12"/>
      <c r="BQ73" s="60"/>
      <c r="BR73" s="86"/>
      <c r="BS73" s="7"/>
      <c r="BT73" s="85"/>
      <c r="BU73" s="60" t="s">
        <v>17</v>
      </c>
      <c r="BV73" s="60"/>
      <c r="BW73" s="28"/>
      <c r="BX73" s="26"/>
      <c r="BY73" s="71" t="s">
        <v>258</v>
      </c>
      <c r="BZ73" s="71" t="s">
        <v>258</v>
      </c>
      <c r="CA73" s="71" t="s">
        <v>258</v>
      </c>
      <c r="CB73" s="71" t="s">
        <v>258</v>
      </c>
      <c r="CC73" s="71" t="s">
        <v>258</v>
      </c>
      <c r="CD73" s="26"/>
      <c r="CE73" s="60"/>
      <c r="CF73" s="26"/>
      <c r="CG73" s="60"/>
      <c r="CH73" s="42"/>
      <c r="CL73" s="229" t="s">
        <v>434</v>
      </c>
      <c r="CM73" s="60"/>
      <c r="CN73" s="60"/>
      <c r="CO73" s="317"/>
      <c r="CP73" s="305" t="s">
        <v>555</v>
      </c>
      <c r="CQ73" s="60"/>
      <c r="CR73" s="60"/>
      <c r="CS73" s="318"/>
      <c r="CT73" s="12"/>
      <c r="CU73" s="230"/>
      <c r="CV73" s="190" t="s">
        <v>231</v>
      </c>
      <c r="CX73" s="244" t="s">
        <v>473</v>
      </c>
      <c r="CY73" s="83"/>
      <c r="CZ73" s="83"/>
      <c r="DA73" s="220" t="s">
        <v>440</v>
      </c>
      <c r="DB73" s="220" t="s">
        <v>287</v>
      </c>
      <c r="DC73" s="222"/>
      <c r="DD73" s="220" t="s">
        <v>288</v>
      </c>
      <c r="DE73" s="222"/>
      <c r="DF73" s="220" t="s">
        <v>222</v>
      </c>
      <c r="DG73" s="84"/>
      <c r="DH73" s="58" t="s">
        <v>231</v>
      </c>
      <c r="DJ73" s="369" t="s">
        <v>719</v>
      </c>
      <c r="DK73" s="463" t="s">
        <v>720</v>
      </c>
      <c r="DL73" s="369" t="s">
        <v>691</v>
      </c>
      <c r="DM73" s="369" t="s">
        <v>716</v>
      </c>
      <c r="DN73" s="369" t="s">
        <v>717</v>
      </c>
      <c r="DO73" s="462" t="s">
        <v>718</v>
      </c>
      <c r="DQ73" s="58" t="s">
        <v>231</v>
      </c>
    </row>
    <row r="74" spans="2:121" ht="19.5" customHeight="1" thickBot="1" thickTop="1">
      <c r="B74" s="424" t="s">
        <v>2273</v>
      </c>
      <c r="C74" s="425" t="s">
        <v>168</v>
      </c>
      <c r="D74" s="444" t="s">
        <v>2293</v>
      </c>
      <c r="E74" s="428" t="s">
        <v>2408</v>
      </c>
      <c r="F74" s="128"/>
      <c r="G74" s="128"/>
      <c r="H74" s="128"/>
      <c r="I74" s="120"/>
      <c r="J74" s="485" t="s">
        <v>231</v>
      </c>
      <c r="K74" s="120"/>
      <c r="L74" s="120"/>
      <c r="M74" s="58" t="s">
        <v>231</v>
      </c>
      <c r="N74" s="55" t="s">
        <v>1</v>
      </c>
      <c r="O74" s="55" t="s">
        <v>366</v>
      </c>
      <c r="P74" s="58"/>
      <c r="Q74" s="55" t="s">
        <v>371</v>
      </c>
      <c r="R74" s="2">
        <f>+R72-R73</f>
        <v>38773.657</v>
      </c>
      <c r="S74" s="2">
        <f>+S72-S73</f>
        <v>29163.461999999996</v>
      </c>
      <c r="T74" s="2">
        <f>+T72-T73</f>
        <v>44912.735</v>
      </c>
      <c r="U74" s="55" t="s">
        <v>1</v>
      </c>
      <c r="V74" s="60"/>
      <c r="W74" s="12"/>
      <c r="X74" s="12"/>
      <c r="Y74" s="85"/>
      <c r="Z74" s="60"/>
      <c r="AA74" s="60"/>
      <c r="AB74" s="60"/>
      <c r="AC74" s="60"/>
      <c r="AD74" s="60"/>
      <c r="AE74" s="60"/>
      <c r="AF74" s="95"/>
      <c r="AG74" s="95"/>
      <c r="AH74" s="95"/>
      <c r="AI74" s="95"/>
      <c r="AJ74" s="60" t="s">
        <v>166</v>
      </c>
      <c r="AK74" s="95"/>
      <c r="AL74" s="95"/>
      <c r="AM74" s="95"/>
      <c r="AN74" s="95"/>
      <c r="AO74" s="95"/>
      <c r="AP74" s="95"/>
      <c r="AQ74" s="95"/>
      <c r="AR74" s="95"/>
      <c r="AS74" s="97"/>
      <c r="AT74" s="95"/>
      <c r="AU74" s="95"/>
      <c r="AV74" s="95"/>
      <c r="AW74" s="95"/>
      <c r="AX74" s="60" t="s">
        <v>167</v>
      </c>
      <c r="AY74" s="95"/>
      <c r="AZ74" s="95"/>
      <c r="BA74" s="95"/>
      <c r="BB74" s="95"/>
      <c r="BC74" s="95"/>
      <c r="BD74" s="95"/>
      <c r="BE74" s="98"/>
      <c r="BF74" s="97"/>
      <c r="BG74" s="98"/>
      <c r="BH74" s="98"/>
      <c r="BI74" s="98"/>
      <c r="BJ74" s="97"/>
      <c r="BK74" s="98"/>
      <c r="BL74" s="98"/>
      <c r="BM74" s="98"/>
      <c r="BN74" s="97"/>
      <c r="BO74" s="95"/>
      <c r="BP74" s="12"/>
      <c r="BQ74" s="60"/>
      <c r="BR74" s="86"/>
      <c r="BS74" s="7"/>
      <c r="BT74" s="85"/>
      <c r="BU74" s="26"/>
      <c r="BV74" s="60"/>
      <c r="BW74" s="28" t="s">
        <v>65</v>
      </c>
      <c r="BX74" s="26"/>
      <c r="BY74" s="71" t="s">
        <v>258</v>
      </c>
      <c r="BZ74" s="71" t="s">
        <v>258</v>
      </c>
      <c r="CA74" s="71" t="s">
        <v>258</v>
      </c>
      <c r="CB74" s="71" t="s">
        <v>258</v>
      </c>
      <c r="CC74" s="71" t="s">
        <v>258</v>
      </c>
      <c r="CD74" s="26"/>
      <c r="CE74" s="60"/>
      <c r="CF74" s="26" t="s">
        <v>66</v>
      </c>
      <c r="CG74" s="60"/>
      <c r="CH74" s="42"/>
      <c r="CL74" s="229" t="s">
        <v>435</v>
      </c>
      <c r="CM74" s="60"/>
      <c r="CN74" s="60"/>
      <c r="CO74" s="317"/>
      <c r="CP74" s="305" t="s">
        <v>520</v>
      </c>
      <c r="CQ74" s="60"/>
      <c r="CR74" s="60"/>
      <c r="CS74" s="318"/>
      <c r="CT74" s="12"/>
      <c r="CU74" s="230"/>
      <c r="CV74" s="190" t="s">
        <v>231</v>
      </c>
      <c r="CX74" s="85" t="s">
        <v>485</v>
      </c>
      <c r="CY74" s="60"/>
      <c r="CZ74" s="60"/>
      <c r="DA74" s="60"/>
      <c r="DB74" s="300" t="s">
        <v>157</v>
      </c>
      <c r="DC74" s="293"/>
      <c r="DD74" s="154"/>
      <c r="DE74" s="293"/>
      <c r="DF74" s="154"/>
      <c r="DG74" s="245"/>
      <c r="DH74" s="58" t="s">
        <v>231</v>
      </c>
      <c r="DJ74" s="369" t="s">
        <v>721</v>
      </c>
      <c r="DK74" s="461" t="s">
        <v>722</v>
      </c>
      <c r="DL74" s="369" t="s">
        <v>691</v>
      </c>
      <c r="DM74" s="369" t="s">
        <v>703</v>
      </c>
      <c r="DN74" s="369" t="s">
        <v>704</v>
      </c>
      <c r="DO74" s="462" t="s">
        <v>705</v>
      </c>
      <c r="DQ74" s="58" t="s">
        <v>231</v>
      </c>
    </row>
    <row r="75" spans="2:121" ht="19.5" customHeight="1" thickTop="1">
      <c r="B75" s="65" t="s">
        <v>469</v>
      </c>
      <c r="D75" s="445" t="s">
        <v>481</v>
      </c>
      <c r="E75" s="55" t="s">
        <v>2277</v>
      </c>
      <c r="F75" s="402">
        <v>0</v>
      </c>
      <c r="G75" s="403">
        <v>762000</v>
      </c>
      <c r="H75" s="404">
        <v>2603500</v>
      </c>
      <c r="J75" s="33">
        <f>+F75/1000</f>
        <v>0</v>
      </c>
      <c r="K75" s="33">
        <f>+G75/1000</f>
        <v>762</v>
      </c>
      <c r="L75" s="33">
        <f>+H75/1000</f>
        <v>2603.5</v>
      </c>
      <c r="M75" s="58"/>
      <c r="N75" s="55" t="s">
        <v>1</v>
      </c>
      <c r="O75" s="55" t="s">
        <v>338</v>
      </c>
      <c r="P75" s="58"/>
      <c r="Q75" s="58" t="s">
        <v>337</v>
      </c>
      <c r="R75" s="50">
        <f>IF($R$11=1,J85,J71)</f>
        <v>1.645</v>
      </c>
      <c r="S75" s="50">
        <f>IF($R$11=1,K85,K71)</f>
        <v>0</v>
      </c>
      <c r="T75" s="50">
        <f>IF($R$11=1,L85,L71)</f>
        <v>678.258</v>
      </c>
      <c r="U75" s="55" t="s">
        <v>1</v>
      </c>
      <c r="V75" s="60"/>
      <c r="W75" s="12"/>
      <c r="X75" s="60"/>
      <c r="Y75" s="85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95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95"/>
      <c r="AX75" s="95"/>
      <c r="AY75" s="60"/>
      <c r="AZ75" s="95"/>
      <c r="BA75" s="95"/>
      <c r="BB75" s="95"/>
      <c r="BC75" s="95"/>
      <c r="BD75" s="95"/>
      <c r="BE75" s="98"/>
      <c r="BF75" s="97"/>
      <c r="BG75" s="98"/>
      <c r="BH75" s="98"/>
      <c r="BI75" s="98"/>
      <c r="BJ75" s="97"/>
      <c r="BK75" s="98"/>
      <c r="BL75" s="98"/>
      <c r="BM75" s="98"/>
      <c r="BN75" s="97"/>
      <c r="BO75" s="95"/>
      <c r="BP75" s="60"/>
      <c r="BQ75" s="60"/>
      <c r="BR75" s="86"/>
      <c r="BS75" s="7"/>
      <c r="BT75" s="85"/>
      <c r="BU75" s="26" t="s">
        <v>36</v>
      </c>
      <c r="BV75" s="60"/>
      <c r="BW75" s="28"/>
      <c r="BX75" s="26"/>
      <c r="BY75" s="71" t="s">
        <v>258</v>
      </c>
      <c r="BZ75" s="71" t="s">
        <v>258</v>
      </c>
      <c r="CA75" s="71" t="s">
        <v>258</v>
      </c>
      <c r="CB75" s="71" t="s">
        <v>258</v>
      </c>
      <c r="CC75" s="71" t="s">
        <v>258</v>
      </c>
      <c r="CD75" s="26"/>
      <c r="CE75" s="26"/>
      <c r="CF75" s="26"/>
      <c r="CG75" s="60"/>
      <c r="CH75" s="42"/>
      <c r="CL75" s="232" t="s">
        <v>492</v>
      </c>
      <c r="CM75" s="60"/>
      <c r="CN75" s="60"/>
      <c r="CO75" s="317"/>
      <c r="CP75" s="314" t="s">
        <v>523</v>
      </c>
      <c r="CQ75" s="318"/>
      <c r="CR75" s="274"/>
      <c r="CS75" s="318"/>
      <c r="CT75" s="274"/>
      <c r="CU75" s="230"/>
      <c r="CV75" s="190" t="s">
        <v>231</v>
      </c>
      <c r="CX75" s="85" t="s">
        <v>497</v>
      </c>
      <c r="CY75" s="60"/>
      <c r="CZ75" s="60"/>
      <c r="DA75" s="301" t="s">
        <v>538</v>
      </c>
      <c r="DB75" s="302" t="s">
        <v>2312</v>
      </c>
      <c r="DC75" s="60"/>
      <c r="DD75" s="294"/>
      <c r="DE75" s="60"/>
      <c r="DF75" s="294"/>
      <c r="DG75" s="259"/>
      <c r="DH75" s="58" t="s">
        <v>231</v>
      </c>
      <c r="DJ75" s="369" t="s">
        <v>723</v>
      </c>
      <c r="DK75" s="461" t="s">
        <v>724</v>
      </c>
      <c r="DL75" s="369" t="s">
        <v>691</v>
      </c>
      <c r="DM75" s="369" t="s">
        <v>703</v>
      </c>
      <c r="DN75" s="369" t="s">
        <v>704</v>
      </c>
      <c r="DO75" s="462" t="s">
        <v>705</v>
      </c>
      <c r="DQ75" s="58" t="s">
        <v>231</v>
      </c>
    </row>
    <row r="76" spans="2:121" ht="19.5" customHeight="1">
      <c r="B76" s="65" t="s">
        <v>2360</v>
      </c>
      <c r="D76" s="140" t="s">
        <v>2326</v>
      </c>
      <c r="E76" s="55" t="s">
        <v>2401</v>
      </c>
      <c r="F76" s="405">
        <v>0</v>
      </c>
      <c r="G76" s="378">
        <v>0</v>
      </c>
      <c r="H76" s="406">
        <v>0</v>
      </c>
      <c r="J76" s="33">
        <f>+F76/1000</f>
        <v>0</v>
      </c>
      <c r="K76" s="33">
        <f aca="true" t="shared" si="51" ref="K76:L78">+G76/1000</f>
        <v>0</v>
      </c>
      <c r="L76" s="33">
        <f t="shared" si="51"/>
        <v>0</v>
      </c>
      <c r="M76" s="58" t="s">
        <v>231</v>
      </c>
      <c r="N76" s="55" t="s">
        <v>1</v>
      </c>
      <c r="O76" s="55" t="s">
        <v>204</v>
      </c>
      <c r="Q76" s="58" t="s">
        <v>157</v>
      </c>
      <c r="R76" s="1">
        <f aca="true" t="shared" si="52" ref="R76:T77">J80</f>
        <v>202.1</v>
      </c>
      <c r="S76" s="1">
        <f t="shared" si="52"/>
        <v>182.9</v>
      </c>
      <c r="T76" s="1">
        <f t="shared" si="52"/>
        <v>169.9</v>
      </c>
      <c r="U76" s="55" t="s">
        <v>1</v>
      </c>
      <c r="V76" s="60"/>
      <c r="W76" s="12"/>
      <c r="X76" s="60"/>
      <c r="Y76" s="85"/>
      <c r="Z76" s="60"/>
      <c r="AA76" s="60"/>
      <c r="AB76" s="60"/>
      <c r="AC76" s="60"/>
      <c r="AD76" s="60"/>
      <c r="AE76" s="60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7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5"/>
      <c r="BP76" s="12"/>
      <c r="BQ76" s="60"/>
      <c r="BR76" s="86"/>
      <c r="BS76" s="7"/>
      <c r="BT76" s="85"/>
      <c r="BU76" s="60"/>
      <c r="BV76" s="60"/>
      <c r="BW76" s="76" t="s">
        <v>69</v>
      </c>
      <c r="BX76" s="60"/>
      <c r="BY76" s="71" t="s">
        <v>258</v>
      </c>
      <c r="BZ76" s="71" t="s">
        <v>258</v>
      </c>
      <c r="CA76" s="71" t="s">
        <v>258</v>
      </c>
      <c r="CB76" s="71" t="s">
        <v>258</v>
      </c>
      <c r="CC76" s="71" t="s">
        <v>258</v>
      </c>
      <c r="CD76" s="60"/>
      <c r="CE76" s="60"/>
      <c r="CF76" s="60"/>
      <c r="CG76" s="60"/>
      <c r="CH76" s="86"/>
      <c r="CL76" s="229" t="s">
        <v>432</v>
      </c>
      <c r="CM76" s="60"/>
      <c r="CN76" s="60"/>
      <c r="CO76" s="301" t="s">
        <v>2299</v>
      </c>
      <c r="CP76" s="305" t="s">
        <v>522</v>
      </c>
      <c r="CQ76" s="318"/>
      <c r="CR76" s="12"/>
      <c r="CS76" s="318"/>
      <c r="CT76" s="12"/>
      <c r="CU76" s="230"/>
      <c r="CV76" s="190" t="s">
        <v>231</v>
      </c>
      <c r="CX76" s="85" t="s">
        <v>498</v>
      </c>
      <c r="CY76" s="60"/>
      <c r="CZ76" s="60"/>
      <c r="DA76" s="301" t="s">
        <v>2300</v>
      </c>
      <c r="DB76" s="303" t="s">
        <v>2313</v>
      </c>
      <c r="DC76" s="60"/>
      <c r="DD76" s="295"/>
      <c r="DE76" s="60"/>
      <c r="DF76" s="295"/>
      <c r="DG76" s="260"/>
      <c r="DH76" s="58" t="s">
        <v>231</v>
      </c>
      <c r="DJ76" s="369" t="s">
        <v>725</v>
      </c>
      <c r="DK76" s="461" t="s">
        <v>726</v>
      </c>
      <c r="DL76" s="369" t="s">
        <v>691</v>
      </c>
      <c r="DM76" s="369" t="s">
        <v>490</v>
      </c>
      <c r="DN76" s="369" t="s">
        <v>491</v>
      </c>
      <c r="DO76" s="462" t="s">
        <v>727</v>
      </c>
      <c r="DQ76" s="58" t="s">
        <v>231</v>
      </c>
    </row>
    <row r="77" spans="2:121" ht="19.5" customHeight="1" thickBot="1">
      <c r="B77" s="65" t="s">
        <v>211</v>
      </c>
      <c r="D77" s="140" t="s">
        <v>212</v>
      </c>
      <c r="E77" s="55" t="s">
        <v>2370</v>
      </c>
      <c r="F77" s="405">
        <v>0</v>
      </c>
      <c r="G77" s="378">
        <v>0</v>
      </c>
      <c r="H77" s="406">
        <v>0</v>
      </c>
      <c r="I77" s="119" t="s">
        <v>231</v>
      </c>
      <c r="J77" s="33">
        <f>+F77/1000</f>
        <v>0</v>
      </c>
      <c r="K77" s="33">
        <f t="shared" si="51"/>
        <v>0</v>
      </c>
      <c r="L77" s="33">
        <f t="shared" si="51"/>
        <v>0</v>
      </c>
      <c r="M77" s="58" t="s">
        <v>231</v>
      </c>
      <c r="N77" s="55" t="s">
        <v>1</v>
      </c>
      <c r="O77" s="55" t="s">
        <v>210</v>
      </c>
      <c r="P77" s="2"/>
      <c r="Q77" s="55" t="s">
        <v>159</v>
      </c>
      <c r="R77" s="2">
        <f t="shared" si="52"/>
        <v>55.717</v>
      </c>
      <c r="S77" s="2">
        <f t="shared" si="52"/>
        <v>-52.43</v>
      </c>
      <c r="T77" s="2">
        <f t="shared" si="52"/>
        <v>-123.525</v>
      </c>
      <c r="U77" s="55" t="s">
        <v>1</v>
      </c>
      <c r="V77" s="60"/>
      <c r="W77" s="12"/>
      <c r="X77" s="60"/>
      <c r="Y77" s="85" t="s">
        <v>169</v>
      </c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 t="s">
        <v>170</v>
      </c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95"/>
      <c r="AX77" s="60" t="s">
        <v>171</v>
      </c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 t="s">
        <v>172</v>
      </c>
      <c r="BN77" s="60"/>
      <c r="BO77" s="95"/>
      <c r="BP77" s="12"/>
      <c r="BQ77" s="60"/>
      <c r="BR77" s="86"/>
      <c r="BS77" s="7"/>
      <c r="BT77" s="85"/>
      <c r="BU77" s="26" t="s">
        <v>71</v>
      </c>
      <c r="BV77" s="60"/>
      <c r="BW77" s="28"/>
      <c r="BX77" s="26"/>
      <c r="BY77" s="71" t="s">
        <v>258</v>
      </c>
      <c r="BZ77" s="71" t="s">
        <v>258</v>
      </c>
      <c r="CA77" s="71" t="s">
        <v>258</v>
      </c>
      <c r="CB77" s="71" t="s">
        <v>258</v>
      </c>
      <c r="CC77" s="71" t="s">
        <v>258</v>
      </c>
      <c r="CD77" s="26"/>
      <c r="CE77" s="26"/>
      <c r="CF77" s="26"/>
      <c r="CG77" s="60"/>
      <c r="CH77" s="42"/>
      <c r="CL77" s="229" t="s">
        <v>436</v>
      </c>
      <c r="CM77" s="60"/>
      <c r="CN77" s="60"/>
      <c r="CO77" s="317"/>
      <c r="CP77" s="305" t="s">
        <v>337</v>
      </c>
      <c r="CQ77" s="318"/>
      <c r="CR77" s="12"/>
      <c r="CS77" s="318"/>
      <c r="CT77" s="12"/>
      <c r="CU77" s="230"/>
      <c r="CV77" s="190" t="s">
        <v>231</v>
      </c>
      <c r="CX77" s="90" t="s">
        <v>499</v>
      </c>
      <c r="CY77" s="91"/>
      <c r="CZ77" s="91"/>
      <c r="DA77" s="308" t="s">
        <v>2301</v>
      </c>
      <c r="DB77" s="296" t="s">
        <v>2314</v>
      </c>
      <c r="DC77" s="91"/>
      <c r="DD77" s="296"/>
      <c r="DE77" s="309"/>
      <c r="DF77" s="310"/>
      <c r="DG77" s="311"/>
      <c r="DJ77" s="369" t="s">
        <v>728</v>
      </c>
      <c r="DK77" s="463" t="s">
        <v>729</v>
      </c>
      <c r="DL77" s="369" t="s">
        <v>691</v>
      </c>
      <c r="DM77" s="369" t="s">
        <v>490</v>
      </c>
      <c r="DN77" s="369" t="s">
        <v>491</v>
      </c>
      <c r="DO77" s="462" t="s">
        <v>727</v>
      </c>
      <c r="DQ77" s="58" t="s">
        <v>231</v>
      </c>
    </row>
    <row r="78" spans="2:121" ht="19.5" customHeight="1" thickBot="1">
      <c r="B78" s="65" t="s">
        <v>2361</v>
      </c>
      <c r="D78" s="140" t="s">
        <v>209</v>
      </c>
      <c r="E78" s="55" t="s">
        <v>2370</v>
      </c>
      <c r="F78" s="405">
        <v>0</v>
      </c>
      <c r="G78" s="378">
        <v>0</v>
      </c>
      <c r="H78" s="406">
        <v>0</v>
      </c>
      <c r="I78" s="119" t="s">
        <v>231</v>
      </c>
      <c r="J78" s="33">
        <f>+F78/1000</f>
        <v>0</v>
      </c>
      <c r="K78" s="33">
        <f t="shared" si="51"/>
        <v>0</v>
      </c>
      <c r="L78" s="33">
        <f t="shared" si="51"/>
        <v>0</v>
      </c>
      <c r="M78" s="58" t="s">
        <v>231</v>
      </c>
      <c r="N78" s="55" t="s">
        <v>1</v>
      </c>
      <c r="O78" s="55" t="s">
        <v>213</v>
      </c>
      <c r="Q78" s="55" t="s">
        <v>156</v>
      </c>
      <c r="R78" s="2">
        <f>J79</f>
        <v>0</v>
      </c>
      <c r="S78" s="2">
        <f>K79</f>
        <v>0</v>
      </c>
      <c r="T78" s="2">
        <f>L79</f>
        <v>0</v>
      </c>
      <c r="U78" s="55" t="s">
        <v>1</v>
      </c>
      <c r="V78" s="60"/>
      <c r="W78" s="12"/>
      <c r="X78" s="60"/>
      <c r="Y78" s="90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2"/>
      <c r="BS78" s="7"/>
      <c r="BT78" s="85"/>
      <c r="BU78" s="26"/>
      <c r="BV78" s="60"/>
      <c r="BW78" s="28" t="s">
        <v>74</v>
      </c>
      <c r="BX78" s="26"/>
      <c r="BY78" s="71" t="s">
        <v>258</v>
      </c>
      <c r="BZ78" s="71" t="s">
        <v>258</v>
      </c>
      <c r="CA78" s="71" t="s">
        <v>258</v>
      </c>
      <c r="CB78" s="71" t="s">
        <v>258</v>
      </c>
      <c r="CC78" s="71" t="s">
        <v>258</v>
      </c>
      <c r="CD78" s="26"/>
      <c r="CE78" s="26"/>
      <c r="CF78" s="26" t="s">
        <v>75</v>
      </c>
      <c r="CG78" s="60"/>
      <c r="CH78" s="42"/>
      <c r="CL78" s="233" t="s">
        <v>433</v>
      </c>
      <c r="CM78" s="234"/>
      <c r="CN78" s="234"/>
      <c r="CO78" s="335" t="s">
        <v>2393</v>
      </c>
      <c r="CP78" s="333" t="s">
        <v>127</v>
      </c>
      <c r="CQ78" s="336"/>
      <c r="CR78" s="276"/>
      <c r="CS78" s="336"/>
      <c r="CT78" s="276"/>
      <c r="CU78" s="237"/>
      <c r="CV78" s="190" t="s">
        <v>231</v>
      </c>
      <c r="CX78" s="60"/>
      <c r="CY78" s="60"/>
      <c r="CZ78" s="60"/>
      <c r="DA78" s="60"/>
      <c r="DB78" s="60"/>
      <c r="DC78" s="60"/>
      <c r="DD78" s="60"/>
      <c r="DE78" s="60"/>
      <c r="DF78" s="295"/>
      <c r="DG78" s="295"/>
      <c r="DH78" s="58" t="s">
        <v>231</v>
      </c>
      <c r="DJ78" s="369" t="s">
        <v>730</v>
      </c>
      <c r="DK78" s="461" t="s">
        <v>731</v>
      </c>
      <c r="DL78" s="369" t="s">
        <v>732</v>
      </c>
      <c r="DM78" s="369" t="s">
        <v>733</v>
      </c>
      <c r="DN78" s="369" t="s">
        <v>734</v>
      </c>
      <c r="DO78" s="462" t="s">
        <v>735</v>
      </c>
      <c r="DQ78" s="58" t="s">
        <v>231</v>
      </c>
    </row>
    <row r="79" spans="2:121" ht="19.5" customHeight="1" thickBot="1">
      <c r="B79" s="65" t="s">
        <v>255</v>
      </c>
      <c r="D79" s="445" t="s">
        <v>2281</v>
      </c>
      <c r="E79" s="66" t="s">
        <v>2282</v>
      </c>
      <c r="F79" s="405">
        <v>0</v>
      </c>
      <c r="G79" s="378">
        <v>0</v>
      </c>
      <c r="H79" s="406">
        <v>0</v>
      </c>
      <c r="I79" s="119" t="s">
        <v>231</v>
      </c>
      <c r="J79" s="33">
        <f>+F79/1000</f>
        <v>0</v>
      </c>
      <c r="K79" s="33">
        <f>+G79/1000</f>
        <v>0</v>
      </c>
      <c r="L79" s="33">
        <f>+H79/1000</f>
        <v>0</v>
      </c>
      <c r="M79" s="58" t="s">
        <v>231</v>
      </c>
      <c r="N79" s="55" t="s">
        <v>1</v>
      </c>
      <c r="O79" s="55" t="s">
        <v>48</v>
      </c>
      <c r="Q79" s="55" t="s">
        <v>160</v>
      </c>
      <c r="R79" s="2">
        <f aca="true" t="shared" si="53" ref="R79:T80">J82</f>
        <v>82.964</v>
      </c>
      <c r="S79" s="2">
        <f t="shared" si="53"/>
        <v>46.287</v>
      </c>
      <c r="T79" s="2">
        <f t="shared" si="53"/>
        <v>36.055</v>
      </c>
      <c r="U79" s="55" t="s">
        <v>1</v>
      </c>
      <c r="V79" s="60"/>
      <c r="W79" s="12"/>
      <c r="X79" s="12"/>
      <c r="Y79" s="85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12"/>
      <c r="BQ79" s="60"/>
      <c r="BR79" s="86"/>
      <c r="BS79" s="7"/>
      <c r="BT79" s="85"/>
      <c r="BU79" s="26"/>
      <c r="BV79" s="60"/>
      <c r="BW79" s="28"/>
      <c r="BX79" s="26"/>
      <c r="BY79" s="71" t="s">
        <v>258</v>
      </c>
      <c r="BZ79" s="71" t="s">
        <v>258</v>
      </c>
      <c r="CA79" s="71" t="s">
        <v>258</v>
      </c>
      <c r="CB79" s="71" t="s">
        <v>258</v>
      </c>
      <c r="CC79" s="71" t="s">
        <v>258</v>
      </c>
      <c r="CD79" s="26"/>
      <c r="CE79" s="26"/>
      <c r="CF79" s="26"/>
      <c r="CG79" s="60"/>
      <c r="CH79" s="42"/>
      <c r="CP79" s="496" t="s">
        <v>2394</v>
      </c>
      <c r="CX79" s="244" t="s">
        <v>483</v>
      </c>
      <c r="CY79" s="83"/>
      <c r="CZ79" s="83"/>
      <c r="DA79" s="83"/>
      <c r="DB79" s="220" t="s">
        <v>287</v>
      </c>
      <c r="DC79" s="222"/>
      <c r="DD79" s="220" t="s">
        <v>288</v>
      </c>
      <c r="DE79" s="222"/>
      <c r="DF79" s="220" t="s">
        <v>222</v>
      </c>
      <c r="DG79" s="84"/>
      <c r="DH79" s="58" t="s">
        <v>231</v>
      </c>
      <c r="DJ79" s="369" t="s">
        <v>736</v>
      </c>
      <c r="DK79" s="461" t="s">
        <v>737</v>
      </c>
      <c r="DL79" s="369" t="s">
        <v>732</v>
      </c>
      <c r="DM79" s="369" t="s">
        <v>733</v>
      </c>
      <c r="DN79" s="369" t="s">
        <v>734</v>
      </c>
      <c r="DO79" s="462" t="s">
        <v>735</v>
      </c>
      <c r="DQ79" s="58" t="s">
        <v>231</v>
      </c>
    </row>
    <row r="80" spans="2:121" ht="19.5" customHeight="1">
      <c r="B80" s="65" t="s">
        <v>2362</v>
      </c>
      <c r="D80" s="140" t="s">
        <v>2371</v>
      </c>
      <c r="E80" s="55" t="s">
        <v>2372</v>
      </c>
      <c r="F80" s="407">
        <v>202.1</v>
      </c>
      <c r="G80" s="391">
        <v>182.9</v>
      </c>
      <c r="H80" s="408">
        <v>169.9</v>
      </c>
      <c r="I80" s="121" t="s">
        <v>231</v>
      </c>
      <c r="J80" s="34">
        <f>+F80</f>
        <v>202.1</v>
      </c>
      <c r="K80" s="34">
        <f>+G80</f>
        <v>182.9</v>
      </c>
      <c r="L80" s="34">
        <f>+H80</f>
        <v>169.9</v>
      </c>
      <c r="M80" s="58" t="s">
        <v>231</v>
      </c>
      <c r="N80" s="55" t="s">
        <v>1</v>
      </c>
      <c r="O80" s="55" t="s">
        <v>215</v>
      </c>
      <c r="Q80" s="55" t="s">
        <v>162</v>
      </c>
      <c r="R80" s="2">
        <f t="shared" si="53"/>
        <v>0</v>
      </c>
      <c r="S80" s="2">
        <f t="shared" si="53"/>
        <v>0</v>
      </c>
      <c r="T80" s="2">
        <f t="shared" si="53"/>
        <v>0</v>
      </c>
      <c r="U80" s="55" t="s">
        <v>1</v>
      </c>
      <c r="V80" s="60"/>
      <c r="W80" s="12"/>
      <c r="X80" s="12"/>
      <c r="Y80" s="85"/>
      <c r="Z80" s="60" t="s">
        <v>173</v>
      </c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 t="s">
        <v>174</v>
      </c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 t="s">
        <v>175</v>
      </c>
      <c r="BB80" s="60"/>
      <c r="BC80" s="60"/>
      <c r="BD80" s="60"/>
      <c r="BE80" s="12"/>
      <c r="BF80" s="60"/>
      <c r="BG80" s="12"/>
      <c r="BH80" s="12"/>
      <c r="BI80" s="12"/>
      <c r="BJ80" s="12"/>
      <c r="BK80" s="60"/>
      <c r="BL80" s="12"/>
      <c r="BM80" s="12"/>
      <c r="BN80" s="12"/>
      <c r="BO80" s="60" t="s">
        <v>176</v>
      </c>
      <c r="BP80" s="60"/>
      <c r="BQ80" s="60"/>
      <c r="BR80" s="86"/>
      <c r="BS80" s="7"/>
      <c r="BT80" s="85"/>
      <c r="BU80" s="26" t="s">
        <v>50</v>
      </c>
      <c r="BV80" s="60"/>
      <c r="BW80" s="28" t="s">
        <v>80</v>
      </c>
      <c r="BX80" s="26"/>
      <c r="BY80" s="71" t="s">
        <v>258</v>
      </c>
      <c r="BZ80" s="71" t="s">
        <v>258</v>
      </c>
      <c r="CA80" s="71" t="s">
        <v>258</v>
      </c>
      <c r="CB80" s="71" t="s">
        <v>258</v>
      </c>
      <c r="CC80" s="71" t="s">
        <v>258</v>
      </c>
      <c r="CD80" s="26"/>
      <c r="CE80" s="26"/>
      <c r="CF80" s="29" t="s">
        <v>52</v>
      </c>
      <c r="CG80" s="29" t="s">
        <v>52</v>
      </c>
      <c r="CH80" s="43" t="s">
        <v>52</v>
      </c>
      <c r="CL80" s="204" t="s">
        <v>441</v>
      </c>
      <c r="CM80" s="83"/>
      <c r="CN80" s="83"/>
      <c r="CO80" s="337" t="s">
        <v>442</v>
      </c>
      <c r="CP80" s="220" t="s">
        <v>287</v>
      </c>
      <c r="CQ80" s="222"/>
      <c r="CR80" s="220" t="s">
        <v>288</v>
      </c>
      <c r="CS80" s="222"/>
      <c r="CT80" s="220" t="s">
        <v>222</v>
      </c>
      <c r="CU80" s="215"/>
      <c r="CV80" s="188" t="s">
        <v>231</v>
      </c>
      <c r="CX80" s="85" t="s">
        <v>493</v>
      </c>
      <c r="CY80" s="60"/>
      <c r="CZ80" s="60"/>
      <c r="DA80" s="291"/>
      <c r="DB80" s="304" t="s">
        <v>540</v>
      </c>
      <c r="DC80" s="60"/>
      <c r="DD80" s="60"/>
      <c r="DE80" s="60"/>
      <c r="DF80" s="60"/>
      <c r="DG80" s="86"/>
      <c r="DH80" s="58" t="s">
        <v>231</v>
      </c>
      <c r="DJ80" s="369" t="s">
        <v>738</v>
      </c>
      <c r="DK80" s="463" t="s">
        <v>739</v>
      </c>
      <c r="DL80" s="369" t="s">
        <v>732</v>
      </c>
      <c r="DM80" s="369" t="s">
        <v>733</v>
      </c>
      <c r="DN80" s="369" t="s">
        <v>734</v>
      </c>
      <c r="DO80" s="462" t="s">
        <v>735</v>
      </c>
      <c r="DQ80" s="58" t="s">
        <v>231</v>
      </c>
    </row>
    <row r="81" spans="2:121" ht="19.5" customHeight="1">
      <c r="B81" s="65" t="s">
        <v>2363</v>
      </c>
      <c r="D81" s="445" t="s">
        <v>2283</v>
      </c>
      <c r="E81" s="66" t="s">
        <v>2282</v>
      </c>
      <c r="F81" s="405">
        <v>55717</v>
      </c>
      <c r="G81" s="378">
        <v>-52430</v>
      </c>
      <c r="H81" s="406">
        <v>-123525</v>
      </c>
      <c r="I81" s="119" t="s">
        <v>231</v>
      </c>
      <c r="J81" s="33">
        <f>+F81/1000</f>
        <v>55.717</v>
      </c>
      <c r="K81" s="33">
        <f>+G81/1000</f>
        <v>-52.43</v>
      </c>
      <c r="L81" s="33">
        <f>+H81/1000</f>
        <v>-123.525</v>
      </c>
      <c r="M81" s="58" t="s">
        <v>231</v>
      </c>
      <c r="N81" s="55" t="s">
        <v>1</v>
      </c>
      <c r="O81" s="55" t="s">
        <v>2339</v>
      </c>
      <c r="Q81" s="58" t="s">
        <v>20</v>
      </c>
      <c r="R81" s="2">
        <f>J19</f>
        <v>0</v>
      </c>
      <c r="S81" s="2">
        <f>K19</f>
        <v>0</v>
      </c>
      <c r="T81" s="2">
        <f>L19</f>
        <v>0</v>
      </c>
      <c r="U81" s="55" t="s">
        <v>1</v>
      </c>
      <c r="V81" s="60"/>
      <c r="W81" s="12"/>
      <c r="X81" s="12"/>
      <c r="Y81" s="85"/>
      <c r="Z81" s="60" t="s">
        <v>177</v>
      </c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 t="s">
        <v>178</v>
      </c>
      <c r="AN81" s="60"/>
      <c r="AO81" s="60"/>
      <c r="AP81" s="60"/>
      <c r="AQ81" s="60"/>
      <c r="AR81" s="60"/>
      <c r="AS81" s="12"/>
      <c r="AT81" s="60"/>
      <c r="AU81" s="60"/>
      <c r="AV81" s="60"/>
      <c r="AW81" s="60"/>
      <c r="AX81" s="60"/>
      <c r="AY81" s="60"/>
      <c r="AZ81" s="60"/>
      <c r="BA81" s="60" t="s">
        <v>179</v>
      </c>
      <c r="BB81" s="60"/>
      <c r="BC81" s="60"/>
      <c r="BD81" s="60"/>
      <c r="BE81" s="12"/>
      <c r="BF81" s="60"/>
      <c r="BG81" s="12"/>
      <c r="BH81" s="12"/>
      <c r="BI81" s="12"/>
      <c r="BJ81" s="12"/>
      <c r="BK81" s="60"/>
      <c r="BL81" s="12"/>
      <c r="BM81" s="12"/>
      <c r="BN81" s="12"/>
      <c r="BO81" s="60" t="s">
        <v>180</v>
      </c>
      <c r="BP81" s="60"/>
      <c r="BQ81" s="60"/>
      <c r="BR81" s="86"/>
      <c r="BS81" s="7"/>
      <c r="BT81" s="85"/>
      <c r="BU81" s="26" t="s">
        <v>17</v>
      </c>
      <c r="BV81" s="60"/>
      <c r="BW81" s="28"/>
      <c r="BX81" s="26"/>
      <c r="BY81" s="71" t="s">
        <v>258</v>
      </c>
      <c r="BZ81" s="71" t="s">
        <v>258</v>
      </c>
      <c r="CA81" s="71" t="s">
        <v>258</v>
      </c>
      <c r="CB81" s="71" t="s">
        <v>258</v>
      </c>
      <c r="CC81" s="71" t="s">
        <v>258</v>
      </c>
      <c r="CD81" s="26"/>
      <c r="CE81" s="60"/>
      <c r="CF81" s="26"/>
      <c r="CG81" s="60"/>
      <c r="CH81" s="42"/>
      <c r="CL81" s="85" t="s">
        <v>525</v>
      </c>
      <c r="CM81" s="60"/>
      <c r="CN81" s="60"/>
      <c r="CO81" s="376" t="s">
        <v>2230</v>
      </c>
      <c r="CP81" s="321" t="s">
        <v>2303</v>
      </c>
      <c r="CQ81" s="322"/>
      <c r="CR81" s="319"/>
      <c r="CS81" s="322"/>
      <c r="CT81" s="319"/>
      <c r="CU81" s="239"/>
      <c r="CV81" s="191" t="s">
        <v>231</v>
      </c>
      <c r="CX81" s="85" t="s">
        <v>494</v>
      </c>
      <c r="CY81" s="60"/>
      <c r="CZ81" s="60"/>
      <c r="DA81" s="60"/>
      <c r="DB81" s="305" t="s">
        <v>539</v>
      </c>
      <c r="DC81" s="146"/>
      <c r="DD81" s="146"/>
      <c r="DE81" s="146"/>
      <c r="DF81" s="146"/>
      <c r="DG81" s="257"/>
      <c r="DJ81" s="369" t="s">
        <v>740</v>
      </c>
      <c r="DK81" s="461" t="s">
        <v>741</v>
      </c>
      <c r="DL81" s="369" t="s">
        <v>732</v>
      </c>
      <c r="DM81" s="369" t="s">
        <v>733</v>
      </c>
      <c r="DN81" s="369" t="s">
        <v>734</v>
      </c>
      <c r="DO81" s="462" t="s">
        <v>735</v>
      </c>
      <c r="DQ81" s="58" t="s">
        <v>231</v>
      </c>
    </row>
    <row r="82" spans="2:121" ht="19.5" customHeight="1" thickBot="1">
      <c r="B82" s="65" t="s">
        <v>48</v>
      </c>
      <c r="D82" s="140" t="s">
        <v>2402</v>
      </c>
      <c r="E82" s="66" t="s">
        <v>2403</v>
      </c>
      <c r="F82" s="405">
        <v>82964</v>
      </c>
      <c r="G82" s="378">
        <v>46287</v>
      </c>
      <c r="H82" s="406">
        <v>36055</v>
      </c>
      <c r="I82" s="119" t="s">
        <v>231</v>
      </c>
      <c r="J82" s="33">
        <f aca="true" t="shared" si="54" ref="J82:L84">+F82/1000</f>
        <v>82.964</v>
      </c>
      <c r="K82" s="33">
        <f t="shared" si="54"/>
        <v>46.287</v>
      </c>
      <c r="L82" s="33">
        <f t="shared" si="54"/>
        <v>36.055</v>
      </c>
      <c r="M82" s="58" t="s">
        <v>231</v>
      </c>
      <c r="N82" s="55" t="s">
        <v>1</v>
      </c>
      <c r="O82" s="55" t="s">
        <v>221</v>
      </c>
      <c r="Q82" s="55" t="s">
        <v>34</v>
      </c>
      <c r="R82" s="2">
        <f aca="true" t="shared" si="55" ref="R82:T83">J30</f>
        <v>563.266</v>
      </c>
      <c r="S82" s="2">
        <f t="shared" si="55"/>
        <v>1006.799</v>
      </c>
      <c r="T82" s="2">
        <f t="shared" si="55"/>
        <v>2.404</v>
      </c>
      <c r="U82" s="55" t="s">
        <v>1</v>
      </c>
      <c r="V82" s="60"/>
      <c r="W82" s="12"/>
      <c r="X82" s="60"/>
      <c r="Y82" s="85"/>
      <c r="Z82" s="60" t="s">
        <v>181</v>
      </c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 t="s">
        <v>182</v>
      </c>
      <c r="AN82" s="60"/>
      <c r="AO82" s="60"/>
      <c r="AP82" s="60"/>
      <c r="AQ82" s="60"/>
      <c r="AR82" s="60"/>
      <c r="AS82" s="12"/>
      <c r="AT82" s="60"/>
      <c r="AU82" s="60"/>
      <c r="AV82" s="60"/>
      <c r="AW82" s="60"/>
      <c r="AX82" s="60"/>
      <c r="AY82" s="60"/>
      <c r="AZ82" s="60"/>
      <c r="BA82" s="60" t="s">
        <v>183</v>
      </c>
      <c r="BB82" s="60"/>
      <c r="BC82" s="60"/>
      <c r="BD82" s="60"/>
      <c r="BE82" s="12"/>
      <c r="BF82" s="12"/>
      <c r="BG82" s="12"/>
      <c r="BH82" s="12"/>
      <c r="BI82" s="60"/>
      <c r="BJ82" s="12"/>
      <c r="BK82" s="60"/>
      <c r="BL82" s="12"/>
      <c r="BM82" s="60"/>
      <c r="BN82" s="12"/>
      <c r="BO82" s="60" t="s">
        <v>184</v>
      </c>
      <c r="BP82" s="60"/>
      <c r="BQ82" s="60"/>
      <c r="BR82" s="86"/>
      <c r="BS82" s="7"/>
      <c r="BT82" s="85"/>
      <c r="BU82" s="26"/>
      <c r="BV82" s="60"/>
      <c r="BW82" s="28" t="s">
        <v>86</v>
      </c>
      <c r="BX82" s="26"/>
      <c r="BY82" s="71" t="s">
        <v>258</v>
      </c>
      <c r="BZ82" s="71" t="s">
        <v>258</v>
      </c>
      <c r="CA82" s="71" t="s">
        <v>258</v>
      </c>
      <c r="CB82" s="71" t="s">
        <v>258</v>
      </c>
      <c r="CC82" s="71" t="s">
        <v>258</v>
      </c>
      <c r="CD82" s="26"/>
      <c r="CE82" s="60"/>
      <c r="CF82" s="26" t="s">
        <v>87</v>
      </c>
      <c r="CG82" s="60"/>
      <c r="CH82" s="42"/>
      <c r="CL82" s="85" t="s">
        <v>526</v>
      </c>
      <c r="CM82" s="60"/>
      <c r="CN82" s="60"/>
      <c r="CO82" s="376" t="s">
        <v>2229</v>
      </c>
      <c r="CP82" s="321" t="s">
        <v>2304</v>
      </c>
      <c r="CQ82" s="322"/>
      <c r="CR82" s="319"/>
      <c r="CS82" s="322"/>
      <c r="CT82" s="319"/>
      <c r="CU82" s="239"/>
      <c r="CV82" s="191" t="s">
        <v>231</v>
      </c>
      <c r="CX82" s="90" t="s">
        <v>500</v>
      </c>
      <c r="CY82" s="91"/>
      <c r="CZ82" s="91"/>
      <c r="DA82" s="91"/>
      <c r="DB82" s="312" t="s">
        <v>2315</v>
      </c>
      <c r="DC82" s="312"/>
      <c r="DD82" s="312"/>
      <c r="DE82" s="312"/>
      <c r="DF82" s="312"/>
      <c r="DG82" s="258"/>
      <c r="DH82" s="58" t="s">
        <v>231</v>
      </c>
      <c r="DJ82" s="369" t="s">
        <v>742</v>
      </c>
      <c r="DK82" s="463" t="s">
        <v>743</v>
      </c>
      <c r="DL82" s="369" t="s">
        <v>732</v>
      </c>
      <c r="DM82" s="369" t="s">
        <v>733</v>
      </c>
      <c r="DN82" s="369" t="s">
        <v>734</v>
      </c>
      <c r="DO82" s="462" t="s">
        <v>735</v>
      </c>
      <c r="DQ82" s="58" t="s">
        <v>231</v>
      </c>
    </row>
    <row r="83" spans="2:121" ht="19.5" customHeight="1" thickBot="1">
      <c r="B83" s="65" t="s">
        <v>215</v>
      </c>
      <c r="D83" s="140" t="s">
        <v>2284</v>
      </c>
      <c r="E83" s="66" t="s">
        <v>2285</v>
      </c>
      <c r="F83" s="405">
        <v>0</v>
      </c>
      <c r="G83" s="378">
        <v>0</v>
      </c>
      <c r="H83" s="406">
        <v>0</v>
      </c>
      <c r="I83" s="119" t="s">
        <v>231</v>
      </c>
      <c r="J83" s="33">
        <f t="shared" si="54"/>
        <v>0</v>
      </c>
      <c r="K83" s="33">
        <f t="shared" si="54"/>
        <v>0</v>
      </c>
      <c r="L83" s="33">
        <f t="shared" si="54"/>
        <v>0</v>
      </c>
      <c r="M83" s="58" t="s">
        <v>231</v>
      </c>
      <c r="N83" s="55" t="s">
        <v>1</v>
      </c>
      <c r="O83" s="55" t="s">
        <v>223</v>
      </c>
      <c r="Q83" s="55" t="s">
        <v>13</v>
      </c>
      <c r="R83" s="2">
        <f t="shared" si="55"/>
        <v>4852.004</v>
      </c>
      <c r="S83" s="2">
        <f t="shared" si="55"/>
        <v>3036.256</v>
      </c>
      <c r="T83" s="2">
        <f t="shared" si="55"/>
        <v>9773.484</v>
      </c>
      <c r="U83" s="55" t="s">
        <v>1</v>
      </c>
      <c r="V83" s="60"/>
      <c r="W83" s="12"/>
      <c r="X83" s="60"/>
      <c r="Y83" s="82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4"/>
      <c r="BS83" s="7"/>
      <c r="BT83" s="85"/>
      <c r="BU83" s="26" t="s">
        <v>22</v>
      </c>
      <c r="BV83" s="60"/>
      <c r="BW83" s="28"/>
      <c r="BX83" s="26"/>
      <c r="BY83" s="71" t="s">
        <v>258</v>
      </c>
      <c r="BZ83" s="71" t="s">
        <v>258</v>
      </c>
      <c r="CA83" s="71" t="s">
        <v>258</v>
      </c>
      <c r="CB83" s="71" t="s">
        <v>258</v>
      </c>
      <c r="CC83" s="71" t="s">
        <v>258</v>
      </c>
      <c r="CD83" s="26"/>
      <c r="CE83" s="60"/>
      <c r="CF83" s="26"/>
      <c r="CG83" s="60"/>
      <c r="CH83" s="42"/>
      <c r="CL83" s="85" t="s">
        <v>527</v>
      </c>
      <c r="CM83" s="60"/>
      <c r="CN83" s="60"/>
      <c r="CO83" s="376" t="s">
        <v>2231</v>
      </c>
      <c r="CP83" s="321" t="s">
        <v>2305</v>
      </c>
      <c r="CQ83" s="322"/>
      <c r="CR83" s="319"/>
      <c r="CS83" s="322"/>
      <c r="CT83" s="319"/>
      <c r="CU83" s="239"/>
      <c r="CV83" s="191" t="s">
        <v>231</v>
      </c>
      <c r="CX83" s="60"/>
      <c r="CY83" s="60"/>
      <c r="CZ83" s="60"/>
      <c r="DA83" s="60"/>
      <c r="DB83" s="60"/>
      <c r="DC83" s="307"/>
      <c r="DD83" s="12"/>
      <c r="DE83" s="307"/>
      <c r="DF83" s="12"/>
      <c r="DG83" s="306"/>
      <c r="DH83" s="58" t="s">
        <v>231</v>
      </c>
      <c r="DJ83" s="369" t="s">
        <v>744</v>
      </c>
      <c r="DK83" s="461" t="s">
        <v>745</v>
      </c>
      <c r="DL83" s="369" t="s">
        <v>732</v>
      </c>
      <c r="DM83" s="369" t="s">
        <v>733</v>
      </c>
      <c r="DN83" s="369" t="s">
        <v>734</v>
      </c>
      <c r="DO83" s="462" t="s">
        <v>735</v>
      </c>
      <c r="DQ83" s="58" t="s">
        <v>231</v>
      </c>
    </row>
    <row r="84" spans="2:121" ht="19.5" customHeight="1">
      <c r="B84" s="65" t="s">
        <v>229</v>
      </c>
      <c r="D84" s="140" t="s">
        <v>2286</v>
      </c>
      <c r="E84" s="66" t="s">
        <v>2285</v>
      </c>
      <c r="F84" s="405">
        <v>0</v>
      </c>
      <c r="G84" s="378">
        <v>0</v>
      </c>
      <c r="H84" s="406">
        <v>0</v>
      </c>
      <c r="I84" s="119" t="s">
        <v>231</v>
      </c>
      <c r="J84" s="33">
        <f t="shared" si="54"/>
        <v>0</v>
      </c>
      <c r="K84" s="33">
        <f t="shared" si="54"/>
        <v>0</v>
      </c>
      <c r="L84" s="33">
        <f t="shared" si="54"/>
        <v>0</v>
      </c>
      <c r="M84" s="58" t="s">
        <v>231</v>
      </c>
      <c r="N84" s="55" t="s">
        <v>1</v>
      </c>
      <c r="O84" s="55" t="s">
        <v>363</v>
      </c>
      <c r="Q84" s="58" t="s">
        <v>354</v>
      </c>
      <c r="R84" s="2">
        <f>+J40</f>
        <v>0</v>
      </c>
      <c r="S84" s="2">
        <f>+K40</f>
        <v>0</v>
      </c>
      <c r="T84" s="2">
        <f>+L40</f>
        <v>0</v>
      </c>
      <c r="U84" s="55" t="s">
        <v>1</v>
      </c>
      <c r="V84" s="60"/>
      <c r="W84" s="12"/>
      <c r="X84" s="12"/>
      <c r="Y84" s="85" t="s">
        <v>185</v>
      </c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 t="s">
        <v>186</v>
      </c>
      <c r="AN84" s="60"/>
      <c r="AO84" s="60"/>
      <c r="AP84" s="60"/>
      <c r="AQ84" s="60"/>
      <c r="AR84" s="60"/>
      <c r="AS84" s="12"/>
      <c r="AT84" s="60"/>
      <c r="AU84" s="60"/>
      <c r="AV84" s="60"/>
      <c r="AW84" s="60"/>
      <c r="AX84" s="60"/>
      <c r="AY84" s="60"/>
      <c r="AZ84" s="60"/>
      <c r="BA84" s="60" t="s">
        <v>187</v>
      </c>
      <c r="BB84" s="60"/>
      <c r="BC84" s="60"/>
      <c r="BD84" s="60"/>
      <c r="BE84" s="12"/>
      <c r="BF84" s="12"/>
      <c r="BG84" s="12"/>
      <c r="BH84" s="12"/>
      <c r="BI84" s="12" t="s">
        <v>188</v>
      </c>
      <c r="BJ84" s="12"/>
      <c r="BK84" s="12"/>
      <c r="BL84" s="12"/>
      <c r="BM84" s="12"/>
      <c r="BN84" s="12"/>
      <c r="BO84" s="60" t="s">
        <v>189</v>
      </c>
      <c r="BP84" s="60"/>
      <c r="BQ84" s="60"/>
      <c r="BR84" s="86"/>
      <c r="BS84" s="7"/>
      <c r="BT84" s="85"/>
      <c r="BU84" s="26"/>
      <c r="BV84" s="60"/>
      <c r="BW84" s="28" t="s">
        <v>91</v>
      </c>
      <c r="BX84" s="26"/>
      <c r="BY84" s="71" t="s">
        <v>258</v>
      </c>
      <c r="BZ84" s="71" t="s">
        <v>258</v>
      </c>
      <c r="CA84" s="71" t="s">
        <v>258</v>
      </c>
      <c r="CB84" s="71" t="s">
        <v>258</v>
      </c>
      <c r="CC84" s="71" t="s">
        <v>258</v>
      </c>
      <c r="CD84" s="26"/>
      <c r="CE84" s="60"/>
      <c r="CF84" s="26"/>
      <c r="CG84" s="60"/>
      <c r="CH84" s="42"/>
      <c r="CL84" s="85" t="s">
        <v>2295</v>
      </c>
      <c r="CM84" s="60"/>
      <c r="CN84" s="60"/>
      <c r="CO84" s="376" t="s">
        <v>2232</v>
      </c>
      <c r="CP84" s="321" t="s">
        <v>2306</v>
      </c>
      <c r="CQ84" s="322"/>
      <c r="CR84" s="319"/>
      <c r="CS84" s="322"/>
      <c r="CT84" s="319"/>
      <c r="CU84" s="239"/>
      <c r="CV84" s="191" t="s">
        <v>231</v>
      </c>
      <c r="CX84" s="244" t="s">
        <v>474</v>
      </c>
      <c r="CY84" s="83"/>
      <c r="CZ84" s="83"/>
      <c r="DA84" s="220" t="s">
        <v>440</v>
      </c>
      <c r="DB84" s="313" t="s">
        <v>502</v>
      </c>
      <c r="DC84" s="222"/>
      <c r="DD84" s="313" t="s">
        <v>503</v>
      </c>
      <c r="DE84" s="222"/>
      <c r="DF84" s="313" t="s">
        <v>504</v>
      </c>
      <c r="DG84" s="84"/>
      <c r="DH84" s="58" t="s">
        <v>231</v>
      </c>
      <c r="DJ84" s="369" t="s">
        <v>746</v>
      </c>
      <c r="DK84" s="461" t="s">
        <v>747</v>
      </c>
      <c r="DL84" s="369" t="s">
        <v>732</v>
      </c>
      <c r="DM84" s="369" t="s">
        <v>733</v>
      </c>
      <c r="DN84" s="369" t="s">
        <v>734</v>
      </c>
      <c r="DO84" s="462" t="s">
        <v>735</v>
      </c>
      <c r="DQ84" s="58" t="s">
        <v>231</v>
      </c>
    </row>
    <row r="85" spans="2:121" ht="19.5" customHeight="1" thickBot="1">
      <c r="B85" s="65" t="s">
        <v>339</v>
      </c>
      <c r="D85" s="445" t="s">
        <v>2287</v>
      </c>
      <c r="E85" s="58" t="s">
        <v>2288</v>
      </c>
      <c r="F85" s="405">
        <v>1645</v>
      </c>
      <c r="G85" s="378">
        <v>0</v>
      </c>
      <c r="H85" s="406">
        <v>678258</v>
      </c>
      <c r="I85" s="119" t="s">
        <v>231</v>
      </c>
      <c r="J85" s="33">
        <f aca="true" t="shared" si="56" ref="J85:L88">+F85/1000</f>
        <v>1.645</v>
      </c>
      <c r="K85" s="33">
        <f t="shared" si="56"/>
        <v>0</v>
      </c>
      <c r="L85" s="33">
        <f t="shared" si="56"/>
        <v>678.258</v>
      </c>
      <c r="M85" s="58" t="s">
        <v>231</v>
      </c>
      <c r="N85" s="55" t="s">
        <v>1</v>
      </c>
      <c r="O85" s="55" t="s">
        <v>355</v>
      </c>
      <c r="Q85" s="55" t="s">
        <v>70</v>
      </c>
      <c r="R85" s="2">
        <f aca="true" t="shared" si="57" ref="R85:T86">J42</f>
        <v>0</v>
      </c>
      <c r="S85" s="2">
        <f t="shared" si="57"/>
        <v>0</v>
      </c>
      <c r="T85" s="2">
        <f t="shared" si="57"/>
        <v>0</v>
      </c>
      <c r="U85" s="55" t="s">
        <v>1</v>
      </c>
      <c r="V85" s="60"/>
      <c r="W85" s="12"/>
      <c r="X85" s="60"/>
      <c r="Y85" s="90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2"/>
      <c r="BS85" s="7"/>
      <c r="BT85" s="85"/>
      <c r="BU85" s="26" t="s">
        <v>29</v>
      </c>
      <c r="BV85" s="60"/>
      <c r="BW85" s="28"/>
      <c r="BX85" s="26"/>
      <c r="BY85" s="71" t="s">
        <v>258</v>
      </c>
      <c r="BZ85" s="71" t="s">
        <v>258</v>
      </c>
      <c r="CA85" s="71" t="s">
        <v>258</v>
      </c>
      <c r="CB85" s="71" t="s">
        <v>258</v>
      </c>
      <c r="CC85" s="71" t="s">
        <v>258</v>
      </c>
      <c r="CD85" s="26"/>
      <c r="CE85" s="60"/>
      <c r="CF85" s="26"/>
      <c r="CG85" s="60"/>
      <c r="CH85" s="42"/>
      <c r="CL85" s="85" t="s">
        <v>529</v>
      </c>
      <c r="CM85" s="60"/>
      <c r="CN85" s="60"/>
      <c r="CO85" s="377" t="s">
        <v>2233</v>
      </c>
      <c r="CP85" s="321" t="s">
        <v>2307</v>
      </c>
      <c r="CQ85" s="322"/>
      <c r="CR85" s="319"/>
      <c r="CS85" s="322"/>
      <c r="CT85" s="319"/>
      <c r="CU85" s="239"/>
      <c r="CV85" s="191" t="s">
        <v>231</v>
      </c>
      <c r="CX85" s="85" t="s">
        <v>476</v>
      </c>
      <c r="CY85" s="60"/>
      <c r="CZ85" s="60"/>
      <c r="DA85" s="146"/>
      <c r="DB85" s="305" t="s">
        <v>542</v>
      </c>
      <c r="DC85" s="146"/>
      <c r="DD85" s="12"/>
      <c r="DE85" s="146"/>
      <c r="DF85" s="12"/>
      <c r="DG85" s="255"/>
      <c r="DJ85" s="369" t="s">
        <v>748</v>
      </c>
      <c r="DK85" s="461" t="s">
        <v>749</v>
      </c>
      <c r="DL85" s="369" t="s">
        <v>732</v>
      </c>
      <c r="DM85" s="369" t="s">
        <v>733</v>
      </c>
      <c r="DN85" s="369" t="s">
        <v>734</v>
      </c>
      <c r="DO85" s="462" t="s">
        <v>735</v>
      </c>
      <c r="DQ85" s="58" t="s">
        <v>231</v>
      </c>
    </row>
    <row r="86" spans="2:121" ht="19.5" customHeight="1">
      <c r="B86" s="65" t="s">
        <v>2238</v>
      </c>
      <c r="D86" s="445" t="s">
        <v>2289</v>
      </c>
      <c r="E86" s="66" t="s">
        <v>2291</v>
      </c>
      <c r="F86" s="405">
        <v>1544970</v>
      </c>
      <c r="G86" s="378">
        <v>1153709</v>
      </c>
      <c r="H86" s="406">
        <v>1592059</v>
      </c>
      <c r="J86" s="33">
        <f t="shared" si="56"/>
        <v>1544.97</v>
      </c>
      <c r="K86" s="33">
        <f t="shared" si="56"/>
        <v>1153.709</v>
      </c>
      <c r="L86" s="33">
        <f t="shared" si="56"/>
        <v>1592.059</v>
      </c>
      <c r="M86" s="58" t="s">
        <v>231</v>
      </c>
      <c r="N86" s="55" t="s">
        <v>1</v>
      </c>
      <c r="O86" s="55" t="s">
        <v>224</v>
      </c>
      <c r="Q86" s="55" t="s">
        <v>72</v>
      </c>
      <c r="R86" s="2">
        <f t="shared" si="57"/>
        <v>5500</v>
      </c>
      <c r="S86" s="2">
        <f t="shared" si="57"/>
        <v>0</v>
      </c>
      <c r="T86" s="2">
        <f t="shared" si="57"/>
        <v>0</v>
      </c>
      <c r="U86" s="55" t="s">
        <v>1</v>
      </c>
      <c r="V86" s="60"/>
      <c r="W86" s="12"/>
      <c r="X86" s="12"/>
      <c r="Y86" s="85"/>
      <c r="Z86" s="60" t="s">
        <v>190</v>
      </c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 t="s">
        <v>191</v>
      </c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 t="s">
        <v>192</v>
      </c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 t="s">
        <v>192</v>
      </c>
      <c r="BP86" s="60"/>
      <c r="BQ86" s="60"/>
      <c r="BR86" s="86"/>
      <c r="BS86" s="7"/>
      <c r="BT86" s="85"/>
      <c r="BU86" s="26"/>
      <c r="BV86" s="60"/>
      <c r="BW86" s="28" t="s">
        <v>94</v>
      </c>
      <c r="BX86" s="26"/>
      <c r="BY86" s="71" t="s">
        <v>258</v>
      </c>
      <c r="BZ86" s="71" t="s">
        <v>258</v>
      </c>
      <c r="CA86" s="71" t="s">
        <v>258</v>
      </c>
      <c r="CB86" s="71" t="s">
        <v>258</v>
      </c>
      <c r="CC86" s="71" t="s">
        <v>258</v>
      </c>
      <c r="CD86" s="26"/>
      <c r="CE86" s="60"/>
      <c r="CF86" s="26" t="s">
        <v>95</v>
      </c>
      <c r="CG86" s="60"/>
      <c r="CH86" s="42"/>
      <c r="CL86" s="85" t="s">
        <v>2235</v>
      </c>
      <c r="CM86" s="60"/>
      <c r="CN86" s="60"/>
      <c r="CO86" s="377" t="s">
        <v>2234</v>
      </c>
      <c r="CQ86" s="322"/>
      <c r="CR86" s="60"/>
      <c r="CS86" s="322"/>
      <c r="CT86" s="60"/>
      <c r="CU86" s="239"/>
      <c r="CV86" s="191" t="s">
        <v>231</v>
      </c>
      <c r="CX86" s="85" t="s">
        <v>475</v>
      </c>
      <c r="CY86" s="60"/>
      <c r="CZ86" s="60"/>
      <c r="DA86" s="146"/>
      <c r="DB86" s="305" t="s">
        <v>543</v>
      </c>
      <c r="DC86" s="60"/>
      <c r="DD86" s="12"/>
      <c r="DE86" s="60"/>
      <c r="DF86" s="12"/>
      <c r="DG86" s="255"/>
      <c r="DJ86" s="369" t="s">
        <v>750</v>
      </c>
      <c r="DK86" s="461" t="s">
        <v>751</v>
      </c>
      <c r="DL86" s="369" t="s">
        <v>732</v>
      </c>
      <c r="DM86" s="369" t="s">
        <v>733</v>
      </c>
      <c r="DN86" s="369" t="s">
        <v>734</v>
      </c>
      <c r="DO86" s="462" t="s">
        <v>735</v>
      </c>
      <c r="DQ86" s="58" t="s">
        <v>231</v>
      </c>
    </row>
    <row r="87" spans="2:121" ht="19.5" customHeight="1" thickBot="1">
      <c r="B87" s="65" t="s">
        <v>2237</v>
      </c>
      <c r="D87" s="445" t="s">
        <v>2290</v>
      </c>
      <c r="E87" s="66" t="s">
        <v>2291</v>
      </c>
      <c r="F87" s="405">
        <v>55668</v>
      </c>
      <c r="G87" s="378">
        <v>38906</v>
      </c>
      <c r="H87" s="406">
        <v>27430</v>
      </c>
      <c r="J87" s="33">
        <f t="shared" si="56"/>
        <v>55.668</v>
      </c>
      <c r="K87" s="33">
        <f t="shared" si="56"/>
        <v>38.906</v>
      </c>
      <c r="L87" s="33">
        <f t="shared" si="56"/>
        <v>27.43</v>
      </c>
      <c r="M87" s="58" t="s">
        <v>231</v>
      </c>
      <c r="N87" s="55" t="s">
        <v>1</v>
      </c>
      <c r="O87" s="55" t="s">
        <v>266</v>
      </c>
      <c r="Q87" s="58" t="s">
        <v>40</v>
      </c>
      <c r="R87" s="2">
        <f>+J44</f>
        <v>0</v>
      </c>
      <c r="S87" s="2">
        <f>+K44</f>
        <v>0</v>
      </c>
      <c r="T87" s="2">
        <f>+L44</f>
        <v>0</v>
      </c>
      <c r="U87" s="55" t="s">
        <v>1</v>
      </c>
      <c r="V87" s="60"/>
      <c r="W87" s="12"/>
      <c r="X87" s="12"/>
      <c r="Y87" s="85"/>
      <c r="Z87" s="60" t="s">
        <v>193</v>
      </c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 t="s">
        <v>194</v>
      </c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 t="s">
        <v>195</v>
      </c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 t="s">
        <v>196</v>
      </c>
      <c r="BP87" s="60"/>
      <c r="BQ87" s="60"/>
      <c r="BR87" s="86"/>
      <c r="BS87" s="7"/>
      <c r="BT87" s="85"/>
      <c r="BU87" s="26" t="s">
        <v>36</v>
      </c>
      <c r="BV87" s="60"/>
      <c r="BW87" s="28"/>
      <c r="BX87" s="26"/>
      <c r="BY87" s="71" t="s">
        <v>258</v>
      </c>
      <c r="BZ87" s="71" t="s">
        <v>258</v>
      </c>
      <c r="CA87" s="71" t="s">
        <v>258</v>
      </c>
      <c r="CB87" s="71" t="s">
        <v>258</v>
      </c>
      <c r="CC87" s="71" t="s">
        <v>258</v>
      </c>
      <c r="CD87" s="26"/>
      <c r="CE87" s="60"/>
      <c r="CF87" s="26"/>
      <c r="CG87" s="60"/>
      <c r="CH87" s="42"/>
      <c r="CL87" s="240" t="s">
        <v>487</v>
      </c>
      <c r="CM87" s="91"/>
      <c r="CN87" s="91"/>
      <c r="CO87" s="338" t="s">
        <v>443</v>
      </c>
      <c r="CP87" s="339" t="s">
        <v>2321</v>
      </c>
      <c r="CQ87" s="91"/>
      <c r="CR87" s="320"/>
      <c r="CS87" s="91"/>
      <c r="CT87" s="320"/>
      <c r="CU87" s="92"/>
      <c r="CV87" s="58" t="s">
        <v>231</v>
      </c>
      <c r="CX87" s="85" t="s">
        <v>477</v>
      </c>
      <c r="CY87" s="60"/>
      <c r="CZ87" s="60"/>
      <c r="DA87" s="146"/>
      <c r="DB87" s="305" t="s">
        <v>552</v>
      </c>
      <c r="DC87" s="60"/>
      <c r="DD87" s="12"/>
      <c r="DE87" s="60"/>
      <c r="DF87" s="12"/>
      <c r="DG87" s="255"/>
      <c r="DH87" s="58"/>
      <c r="DJ87" s="369" t="s">
        <v>752</v>
      </c>
      <c r="DK87" s="461" t="s">
        <v>753</v>
      </c>
      <c r="DL87" s="369" t="s">
        <v>732</v>
      </c>
      <c r="DM87" s="369" t="s">
        <v>733</v>
      </c>
      <c r="DN87" s="369" t="s">
        <v>734</v>
      </c>
      <c r="DO87" s="462" t="s">
        <v>735</v>
      </c>
      <c r="DQ87" s="58" t="s">
        <v>231</v>
      </c>
    </row>
    <row r="88" spans="2:121" ht="19.5" customHeight="1" thickBot="1">
      <c r="B88" s="65" t="s">
        <v>2239</v>
      </c>
      <c r="D88" s="445" t="s">
        <v>2240</v>
      </c>
      <c r="E88" s="55" t="s">
        <v>2292</v>
      </c>
      <c r="F88" s="399">
        <v>0</v>
      </c>
      <c r="G88" s="409">
        <v>0</v>
      </c>
      <c r="H88" s="410">
        <v>0</v>
      </c>
      <c r="J88" s="33">
        <f t="shared" si="56"/>
        <v>0</v>
      </c>
      <c r="K88" s="33">
        <f t="shared" si="56"/>
        <v>0</v>
      </c>
      <c r="L88" s="33">
        <f t="shared" si="56"/>
        <v>0</v>
      </c>
      <c r="M88" s="58" t="s">
        <v>231</v>
      </c>
      <c r="N88" s="55" t="s">
        <v>1</v>
      </c>
      <c r="O88" s="55" t="s">
        <v>225</v>
      </c>
      <c r="P88" s="58"/>
      <c r="Q88" s="55" t="s">
        <v>118</v>
      </c>
      <c r="R88" s="2">
        <f>+J67</f>
        <v>14.497</v>
      </c>
      <c r="S88" s="2">
        <f>+K67</f>
        <v>10.292</v>
      </c>
      <c r="T88" s="2">
        <f>+L67</f>
        <v>6.475</v>
      </c>
      <c r="U88" s="55" t="s">
        <v>1</v>
      </c>
      <c r="V88" s="60"/>
      <c r="W88" s="12"/>
      <c r="X88" s="12"/>
      <c r="Y88" s="85"/>
      <c r="Z88" s="60" t="s">
        <v>197</v>
      </c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 t="s">
        <v>198</v>
      </c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 t="s">
        <v>199</v>
      </c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 t="s">
        <v>200</v>
      </c>
      <c r="BP88" s="60"/>
      <c r="BQ88" s="60"/>
      <c r="BR88" s="86"/>
      <c r="BS88" s="7"/>
      <c r="BT88" s="85"/>
      <c r="BU88" s="26"/>
      <c r="BV88" s="60"/>
      <c r="BW88" s="28" t="s">
        <v>96</v>
      </c>
      <c r="BX88" s="26"/>
      <c r="BY88" s="71" t="s">
        <v>258</v>
      </c>
      <c r="BZ88" s="71" t="s">
        <v>258</v>
      </c>
      <c r="CA88" s="71" t="s">
        <v>258</v>
      </c>
      <c r="CB88" s="71" t="s">
        <v>258</v>
      </c>
      <c r="CC88" s="71" t="s">
        <v>258</v>
      </c>
      <c r="CD88" s="26"/>
      <c r="CE88" s="60"/>
      <c r="CF88" s="26"/>
      <c r="CG88" s="60"/>
      <c r="CH88" s="42"/>
      <c r="CU88" s="453" t="s">
        <v>2296</v>
      </c>
      <c r="CX88" s="85" t="s">
        <v>549</v>
      </c>
      <c r="CY88" s="60"/>
      <c r="CZ88" s="60"/>
      <c r="DA88" s="317" t="s">
        <v>541</v>
      </c>
      <c r="DB88" s="326" t="s">
        <v>2316</v>
      </c>
      <c r="DC88" s="327"/>
      <c r="DD88" s="328"/>
      <c r="DE88" s="327"/>
      <c r="DF88" s="328"/>
      <c r="DG88" s="283"/>
      <c r="DH88" s="58" t="s">
        <v>231</v>
      </c>
      <c r="DJ88" s="369" t="s">
        <v>754</v>
      </c>
      <c r="DK88" s="463" t="s">
        <v>755</v>
      </c>
      <c r="DL88" s="369" t="s">
        <v>691</v>
      </c>
      <c r="DM88" s="369" t="s">
        <v>756</v>
      </c>
      <c r="DN88" s="369" t="s">
        <v>757</v>
      </c>
      <c r="DO88" s="462" t="s">
        <v>758</v>
      </c>
      <c r="DQ88" s="58" t="s">
        <v>231</v>
      </c>
    </row>
    <row r="89" spans="2:121" ht="19.5" customHeight="1" thickBot="1" thickTop="1">
      <c r="B89" s="424" t="s">
        <v>2404</v>
      </c>
      <c r="C89" s="54"/>
      <c r="D89" s="54"/>
      <c r="E89" s="54"/>
      <c r="F89" s="54"/>
      <c r="G89" s="54"/>
      <c r="H89" s="54"/>
      <c r="I89" s="54"/>
      <c r="J89" s="486" t="s">
        <v>231</v>
      </c>
      <c r="K89" s="54"/>
      <c r="L89" s="54"/>
      <c r="M89" s="58" t="s">
        <v>231</v>
      </c>
      <c r="N89" s="55" t="s">
        <v>1</v>
      </c>
      <c r="O89" s="55" t="s">
        <v>226</v>
      </c>
      <c r="Q89" s="55" t="s">
        <v>227</v>
      </c>
      <c r="R89" s="2">
        <f>IF($R$11=1,J66-J67,0)</f>
        <v>448.118</v>
      </c>
      <c r="S89" s="2">
        <f>IF($R$11=1,K66-K67,0)</f>
        <v>18.131999999999998</v>
      </c>
      <c r="T89" s="2">
        <f>IF($R$11=1,L66-L67,0)</f>
        <v>672.107</v>
      </c>
      <c r="U89" s="55" t="s">
        <v>1</v>
      </c>
      <c r="V89" s="60"/>
      <c r="W89" s="12"/>
      <c r="X89" s="12"/>
      <c r="Y89" s="85"/>
      <c r="Z89" s="60" t="s">
        <v>201</v>
      </c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 t="s">
        <v>202</v>
      </c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 t="s">
        <v>178</v>
      </c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 t="s">
        <v>203</v>
      </c>
      <c r="BP89" s="60"/>
      <c r="BQ89" s="60"/>
      <c r="BR89" s="86"/>
      <c r="BS89" s="7"/>
      <c r="BT89" s="85"/>
      <c r="BU89" s="26" t="s">
        <v>41</v>
      </c>
      <c r="BV89" s="60"/>
      <c r="BW89" s="28"/>
      <c r="BX89" s="26"/>
      <c r="BY89" s="71" t="s">
        <v>258</v>
      </c>
      <c r="BZ89" s="71" t="s">
        <v>258</v>
      </c>
      <c r="CA89" s="71" t="s">
        <v>258</v>
      </c>
      <c r="CB89" s="71" t="s">
        <v>258</v>
      </c>
      <c r="CC89" s="71" t="s">
        <v>258</v>
      </c>
      <c r="CD89" s="26"/>
      <c r="CE89" s="60"/>
      <c r="CF89" s="26"/>
      <c r="CG89" s="60"/>
      <c r="CH89" s="42"/>
      <c r="CL89" s="244" t="s">
        <v>450</v>
      </c>
      <c r="CM89" s="83"/>
      <c r="CN89" s="83"/>
      <c r="CO89" s="220" t="s">
        <v>440</v>
      </c>
      <c r="CP89" s="220" t="s">
        <v>287</v>
      </c>
      <c r="CQ89" s="222"/>
      <c r="CR89" s="220" t="s">
        <v>288</v>
      </c>
      <c r="CS89" s="222"/>
      <c r="CT89" s="220" t="s">
        <v>222</v>
      </c>
      <c r="CU89" s="215"/>
      <c r="CV89" s="188" t="s">
        <v>231</v>
      </c>
      <c r="CX89" s="85" t="s">
        <v>484</v>
      </c>
      <c r="CY89" s="60"/>
      <c r="CZ89" s="60"/>
      <c r="DA89" s="60"/>
      <c r="DB89" s="305" t="s">
        <v>544</v>
      </c>
      <c r="DC89" s="60"/>
      <c r="DD89" s="12"/>
      <c r="DE89" s="60"/>
      <c r="DF89" s="12"/>
      <c r="DG89" s="255"/>
      <c r="DH89" s="58" t="s">
        <v>231</v>
      </c>
      <c r="DJ89" s="369" t="s">
        <v>759</v>
      </c>
      <c r="DK89" s="461" t="s">
        <v>760</v>
      </c>
      <c r="DL89" s="369" t="s">
        <v>691</v>
      </c>
      <c r="DM89" s="369" t="s">
        <v>756</v>
      </c>
      <c r="DN89" s="369" t="s">
        <v>757</v>
      </c>
      <c r="DO89" s="462" t="s">
        <v>758</v>
      </c>
      <c r="DQ89" s="58" t="s">
        <v>231</v>
      </c>
    </row>
    <row r="90" spans="2:121" ht="19.5" customHeight="1">
      <c r="B90" s="65" t="s">
        <v>214</v>
      </c>
      <c r="D90" s="474" t="s">
        <v>2329</v>
      </c>
      <c r="E90" s="129" t="s">
        <v>2328</v>
      </c>
      <c r="F90" s="33">
        <f>SUM(F19:F24)+SUM(F27:F32)</f>
        <v>73141542</v>
      </c>
      <c r="G90" s="33">
        <f>SUM(G19:G24)+SUM(G27:G32)</f>
        <v>73026261</v>
      </c>
      <c r="H90" s="33">
        <f>SUM(H19:H24)+SUM(H27:H32)</f>
        <v>90727789</v>
      </c>
      <c r="I90" s="119" t="s">
        <v>231</v>
      </c>
      <c r="J90" s="33">
        <f aca="true" t="shared" si="58" ref="J90:J96">+F90/1000</f>
        <v>73141.542</v>
      </c>
      <c r="K90" s="33">
        <f aca="true" t="shared" si="59" ref="K90:K96">+G90/1000</f>
        <v>73026.261</v>
      </c>
      <c r="L90" s="33">
        <f aca="true" t="shared" si="60" ref="L90:L96">+H90/1000</f>
        <v>90727.789</v>
      </c>
      <c r="M90" s="58" t="s">
        <v>231</v>
      </c>
      <c r="N90" s="55" t="s">
        <v>1</v>
      </c>
      <c r="O90" s="55" t="s">
        <v>229</v>
      </c>
      <c r="Q90" s="55" t="s">
        <v>165</v>
      </c>
      <c r="R90" s="2">
        <f>IF($R$11=1,J84,0)</f>
        <v>0</v>
      </c>
      <c r="S90" s="2">
        <f>IF($R$11=1,K84,0)</f>
        <v>0</v>
      </c>
      <c r="T90" s="2">
        <f>IF($R$11=1,L84,0)</f>
        <v>0</v>
      </c>
      <c r="U90" s="55" t="s">
        <v>1</v>
      </c>
      <c r="V90" s="60"/>
      <c r="W90" s="12"/>
      <c r="X90" s="12"/>
      <c r="Y90" s="85"/>
      <c r="Z90" s="60" t="s">
        <v>205</v>
      </c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 t="s">
        <v>206</v>
      </c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 t="s">
        <v>174</v>
      </c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 t="s">
        <v>207</v>
      </c>
      <c r="BP90" s="60"/>
      <c r="BQ90" s="60"/>
      <c r="BR90" s="86"/>
      <c r="BS90" s="7"/>
      <c r="BT90" s="85"/>
      <c r="BU90" s="60"/>
      <c r="BV90" s="60"/>
      <c r="BW90" s="28" t="s">
        <v>101</v>
      </c>
      <c r="BX90" s="26"/>
      <c r="BY90" s="71" t="s">
        <v>258</v>
      </c>
      <c r="BZ90" s="71" t="s">
        <v>258</v>
      </c>
      <c r="CA90" s="71" t="s">
        <v>258</v>
      </c>
      <c r="CB90" s="71" t="s">
        <v>258</v>
      </c>
      <c r="CC90" s="71" t="s">
        <v>258</v>
      </c>
      <c r="CD90" s="26"/>
      <c r="CE90" s="26"/>
      <c r="CF90" s="26" t="s">
        <v>102</v>
      </c>
      <c r="CG90" s="60"/>
      <c r="CH90" s="42"/>
      <c r="CL90" s="85" t="s">
        <v>495</v>
      </c>
      <c r="CM90" s="60"/>
      <c r="CN90" s="60"/>
      <c r="CO90" s="301" t="s">
        <v>530</v>
      </c>
      <c r="CP90" s="300" t="s">
        <v>2308</v>
      </c>
      <c r="CQ90" s="293"/>
      <c r="CR90" s="154"/>
      <c r="CS90" s="293"/>
      <c r="CT90" s="154"/>
      <c r="CU90" s="245"/>
      <c r="CV90" s="192" t="s">
        <v>231</v>
      </c>
      <c r="CX90" s="85" t="s">
        <v>2381</v>
      </c>
      <c r="CY90" s="60"/>
      <c r="CZ90" s="60"/>
      <c r="DA90" s="60"/>
      <c r="DB90" s="329" t="s">
        <v>2382</v>
      </c>
      <c r="DC90" s="327"/>
      <c r="DD90" s="330"/>
      <c r="DE90" s="327"/>
      <c r="DF90" s="330"/>
      <c r="DG90" s="283"/>
      <c r="DH90" s="58" t="s">
        <v>231</v>
      </c>
      <c r="DJ90" s="369" t="s">
        <v>761</v>
      </c>
      <c r="DK90" s="463" t="s">
        <v>762</v>
      </c>
      <c r="DL90" s="369" t="s">
        <v>691</v>
      </c>
      <c r="DM90" s="369" t="s">
        <v>756</v>
      </c>
      <c r="DN90" s="369" t="s">
        <v>757</v>
      </c>
      <c r="DO90" s="462" t="s">
        <v>758</v>
      </c>
      <c r="DQ90" s="58" t="s">
        <v>231</v>
      </c>
    </row>
    <row r="91" spans="2:121" ht="19.5" customHeight="1" thickBot="1">
      <c r="B91" s="65" t="s">
        <v>216</v>
      </c>
      <c r="D91" s="475"/>
      <c r="E91" s="129" t="s">
        <v>2328</v>
      </c>
      <c r="F91" s="33">
        <f>F34+F38+F39+F41+F46</f>
        <v>73141541</v>
      </c>
      <c r="G91" s="33">
        <f>G34+G38+G39+G41+G46</f>
        <v>73026260</v>
      </c>
      <c r="H91" s="33">
        <f>H34+H38+H39+H41+H46</f>
        <v>90727791</v>
      </c>
      <c r="I91" s="119" t="s">
        <v>231</v>
      </c>
      <c r="J91" s="33">
        <f t="shared" si="58"/>
        <v>73141.541</v>
      </c>
      <c r="K91" s="33">
        <f t="shared" si="59"/>
        <v>73026.26</v>
      </c>
      <c r="L91" s="33">
        <f t="shared" si="60"/>
        <v>90727.791</v>
      </c>
      <c r="M91" s="58" t="s">
        <v>231</v>
      </c>
      <c r="N91" s="55" t="s">
        <v>1</v>
      </c>
      <c r="O91" s="55" t="s">
        <v>355</v>
      </c>
      <c r="Q91" s="58" t="s">
        <v>356</v>
      </c>
      <c r="R91" s="2">
        <f>+J76</f>
        <v>0</v>
      </c>
      <c r="S91" s="2">
        <f>+K76</f>
        <v>0</v>
      </c>
      <c r="T91" s="2">
        <f>+L76</f>
        <v>0</v>
      </c>
      <c r="U91" s="55" t="s">
        <v>1</v>
      </c>
      <c r="V91" s="60"/>
      <c r="W91" s="12"/>
      <c r="X91" s="60"/>
      <c r="Y91" s="90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2"/>
      <c r="BS91" s="7"/>
      <c r="BT91" s="90"/>
      <c r="BU91" s="44" t="s">
        <v>104</v>
      </c>
      <c r="BV91" s="44"/>
      <c r="BW91" s="91"/>
      <c r="BX91" s="44"/>
      <c r="BY91" s="100" t="s">
        <v>258</v>
      </c>
      <c r="BZ91" s="100" t="s">
        <v>258</v>
      </c>
      <c r="CA91" s="100" t="s">
        <v>258</v>
      </c>
      <c r="CB91" s="100" t="s">
        <v>258</v>
      </c>
      <c r="CC91" s="100" t="s">
        <v>258</v>
      </c>
      <c r="CD91" s="44"/>
      <c r="CE91" s="44"/>
      <c r="CF91" s="44"/>
      <c r="CG91" s="44"/>
      <c r="CH91" s="45"/>
      <c r="CL91" s="90" t="s">
        <v>2383</v>
      </c>
      <c r="CM91" s="91"/>
      <c r="CN91" s="91"/>
      <c r="CO91" s="340" t="s">
        <v>531</v>
      </c>
      <c r="CP91" s="341" t="s">
        <v>2309</v>
      </c>
      <c r="CQ91" s="342"/>
      <c r="CR91" s="323"/>
      <c r="CS91" s="342"/>
      <c r="CT91" s="323"/>
      <c r="CU91" s="249"/>
      <c r="CV91" s="193" t="s">
        <v>231</v>
      </c>
      <c r="CX91" s="90" t="s">
        <v>451</v>
      </c>
      <c r="CY91" s="91"/>
      <c r="CZ91" s="91"/>
      <c r="DA91" s="211"/>
      <c r="DB91" s="347" t="s">
        <v>553</v>
      </c>
      <c r="DC91" s="211"/>
      <c r="DD91" s="312"/>
      <c r="DE91" s="211"/>
      <c r="DF91" s="312"/>
      <c r="DG91" s="92"/>
      <c r="DH91" s="58" t="s">
        <v>231</v>
      </c>
      <c r="DJ91" s="369" t="s">
        <v>763</v>
      </c>
      <c r="DK91" s="461" t="s">
        <v>764</v>
      </c>
      <c r="DL91" s="369" t="s">
        <v>691</v>
      </c>
      <c r="DM91" s="369" t="s">
        <v>756</v>
      </c>
      <c r="DN91" s="369" t="s">
        <v>757</v>
      </c>
      <c r="DO91" s="462" t="s">
        <v>758</v>
      </c>
      <c r="DQ91" s="58" t="s">
        <v>231</v>
      </c>
    </row>
    <row r="92" spans="2:121" ht="19.5" customHeight="1" thickBot="1">
      <c r="B92" s="65" t="s">
        <v>217</v>
      </c>
      <c r="D92" s="475" t="s">
        <v>2330</v>
      </c>
      <c r="E92" s="129" t="s">
        <v>2328</v>
      </c>
      <c r="F92" s="33">
        <f>F48</f>
        <v>73141540</v>
      </c>
      <c r="G92" s="33">
        <f>G48</f>
        <v>73026260</v>
      </c>
      <c r="H92" s="33">
        <f>H48</f>
        <v>90727791</v>
      </c>
      <c r="I92" s="119" t="s">
        <v>231</v>
      </c>
      <c r="J92" s="33">
        <f t="shared" si="58"/>
        <v>73141.54</v>
      </c>
      <c r="K92" s="33">
        <f t="shared" si="59"/>
        <v>73026.26</v>
      </c>
      <c r="L92" s="33">
        <f t="shared" si="60"/>
        <v>90727.791</v>
      </c>
      <c r="M92" s="58" t="s">
        <v>231</v>
      </c>
      <c r="N92" s="55" t="s">
        <v>1</v>
      </c>
      <c r="O92" s="55" t="s">
        <v>208</v>
      </c>
      <c r="Q92" s="55" t="s">
        <v>209</v>
      </c>
      <c r="R92" s="2">
        <f>J78</f>
        <v>0</v>
      </c>
      <c r="S92" s="2">
        <f>K78</f>
        <v>0</v>
      </c>
      <c r="T92" s="2">
        <f>L78</f>
        <v>0</v>
      </c>
      <c r="U92" s="55" t="s">
        <v>1</v>
      </c>
      <c r="X92" s="12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60"/>
      <c r="BU92" s="12"/>
      <c r="BV92" s="26"/>
      <c r="BW92" s="26"/>
      <c r="BX92" s="26"/>
      <c r="BY92" s="60"/>
      <c r="BZ92" s="60"/>
      <c r="CA92" s="60"/>
      <c r="CB92" s="60"/>
      <c r="CC92" s="60"/>
      <c r="CD92" s="26"/>
      <c r="CE92" s="26"/>
      <c r="CF92" s="26"/>
      <c r="CG92" s="26"/>
      <c r="CH92" s="26"/>
      <c r="CJ92" s="8"/>
      <c r="CK92" s="8"/>
      <c r="DB92" s="70"/>
      <c r="DG92" s="452" t="s">
        <v>2302</v>
      </c>
      <c r="DH92" s="58" t="s">
        <v>231</v>
      </c>
      <c r="DJ92" s="369" t="s">
        <v>765</v>
      </c>
      <c r="DK92" s="461" t="s">
        <v>766</v>
      </c>
      <c r="DL92" s="369" t="s">
        <v>691</v>
      </c>
      <c r="DM92" s="369" t="s">
        <v>756</v>
      </c>
      <c r="DN92" s="369" t="s">
        <v>757</v>
      </c>
      <c r="DO92" s="462" t="s">
        <v>758</v>
      </c>
      <c r="DQ92" s="58" t="s">
        <v>231</v>
      </c>
    </row>
    <row r="93" spans="2:121" ht="19.5" customHeight="1">
      <c r="B93" s="65" t="s">
        <v>219</v>
      </c>
      <c r="D93" s="475"/>
      <c r="E93" s="129" t="s">
        <v>2328</v>
      </c>
      <c r="F93" s="33">
        <f>F50-F54-SUM(F56:F63)+F64+F65-F66-F68+F69-F70-F71</f>
        <v>-9531626</v>
      </c>
      <c r="G93" s="33">
        <f>G50-G54-SUM(G56:G63)+G64+G65-G66-G68+G69-G70-G71</f>
        <v>2736051</v>
      </c>
      <c r="H93" s="33">
        <f>H50-H54-SUM(H56:H63)+H64+H65-H66-H68+H69-H70-H71</f>
        <v>6232057</v>
      </c>
      <c r="I93" s="119" t="s">
        <v>231</v>
      </c>
      <c r="J93" s="33">
        <f t="shared" si="58"/>
        <v>-9531.626</v>
      </c>
      <c r="K93" s="33">
        <f t="shared" si="59"/>
        <v>2736.051</v>
      </c>
      <c r="L93" s="33">
        <f t="shared" si="60"/>
        <v>6232.057</v>
      </c>
      <c r="M93" s="58" t="s">
        <v>231</v>
      </c>
      <c r="N93" s="55" t="s">
        <v>1</v>
      </c>
      <c r="O93" s="55" t="s">
        <v>211</v>
      </c>
      <c r="P93" s="2"/>
      <c r="Q93" s="55" t="s">
        <v>212</v>
      </c>
      <c r="R93" s="2">
        <f>J77</f>
        <v>0</v>
      </c>
      <c r="S93" s="2">
        <f>K77</f>
        <v>0</v>
      </c>
      <c r="T93" s="2">
        <f>L77</f>
        <v>0</v>
      </c>
      <c r="U93" s="55" t="s">
        <v>1</v>
      </c>
      <c r="CL93" s="82" t="s">
        <v>488</v>
      </c>
      <c r="CM93" s="83"/>
      <c r="CN93" s="83"/>
      <c r="CO93" s="343" t="s">
        <v>532</v>
      </c>
      <c r="CP93" s="344"/>
      <c r="CQ93" s="288"/>
      <c r="CR93" s="288" t="s">
        <v>533</v>
      </c>
      <c r="CS93" s="83"/>
      <c r="CT93" s="83"/>
      <c r="CU93" s="252"/>
      <c r="CV93" s="143" t="s">
        <v>231</v>
      </c>
      <c r="CX93" s="82" t="s">
        <v>2236</v>
      </c>
      <c r="CY93" s="83"/>
      <c r="CZ93" s="83"/>
      <c r="DA93" s="389" t="s">
        <v>2254</v>
      </c>
      <c r="DB93" s="390" t="s">
        <v>2317</v>
      </c>
      <c r="DC93" s="83"/>
      <c r="DD93" s="83"/>
      <c r="DE93" s="83"/>
      <c r="DF93" s="83"/>
      <c r="DG93" s="84"/>
      <c r="DH93" s="58" t="s">
        <v>231</v>
      </c>
      <c r="DJ93" s="369" t="s">
        <v>767</v>
      </c>
      <c r="DK93" s="461" t="s">
        <v>768</v>
      </c>
      <c r="DL93" s="369" t="s">
        <v>691</v>
      </c>
      <c r="DM93" s="369" t="s">
        <v>756</v>
      </c>
      <c r="DN93" s="369" t="s">
        <v>757</v>
      </c>
      <c r="DO93" s="462" t="s">
        <v>758</v>
      </c>
      <c r="DQ93" s="58" t="s">
        <v>231</v>
      </c>
    </row>
    <row r="94" spans="2:121" ht="19.5" customHeight="1" thickBot="1">
      <c r="B94" s="65" t="s">
        <v>220</v>
      </c>
      <c r="D94" s="475" t="s">
        <v>2331</v>
      </c>
      <c r="E94" s="129" t="s">
        <v>2328</v>
      </c>
      <c r="F94" s="33">
        <f>F73</f>
        <v>-9531625</v>
      </c>
      <c r="G94" s="33">
        <f>G73</f>
        <v>2736051</v>
      </c>
      <c r="H94" s="33">
        <f>H73</f>
        <v>6232057</v>
      </c>
      <c r="I94" s="119" t="s">
        <v>231</v>
      </c>
      <c r="J94" s="33">
        <f t="shared" si="58"/>
        <v>-9531.625</v>
      </c>
      <c r="K94" s="33">
        <f t="shared" si="59"/>
        <v>2736.051</v>
      </c>
      <c r="L94" s="33">
        <f t="shared" si="60"/>
        <v>6232.057</v>
      </c>
      <c r="M94" s="58" t="s">
        <v>231</v>
      </c>
      <c r="N94" s="55" t="s">
        <v>1</v>
      </c>
      <c r="O94" s="55" t="s">
        <v>2248</v>
      </c>
      <c r="P94" s="2"/>
      <c r="Q94" s="58" t="s">
        <v>2241</v>
      </c>
      <c r="R94" s="2">
        <f aca="true" t="shared" si="61" ref="R94:T96">+J86</f>
        <v>1544.97</v>
      </c>
      <c r="S94" s="2">
        <f t="shared" si="61"/>
        <v>1153.709</v>
      </c>
      <c r="T94" s="2">
        <f t="shared" si="61"/>
        <v>1592.059</v>
      </c>
      <c r="U94" s="55" t="s">
        <v>1</v>
      </c>
      <c r="CL94" s="90" t="s">
        <v>2319</v>
      </c>
      <c r="CM94" s="91"/>
      <c r="CN94" s="91"/>
      <c r="CO94" s="345" t="s">
        <v>560</v>
      </c>
      <c r="CP94" s="346"/>
      <c r="CQ94" s="289"/>
      <c r="CR94" s="91" t="s">
        <v>534</v>
      </c>
      <c r="CS94" s="91"/>
      <c r="CT94" s="91"/>
      <c r="CU94" s="254"/>
      <c r="CV94" s="143" t="s">
        <v>231</v>
      </c>
      <c r="CX94" s="90" t="s">
        <v>2320</v>
      </c>
      <c r="CY94" s="91"/>
      <c r="CZ94" s="91"/>
      <c r="DA94" s="308" t="s">
        <v>2255</v>
      </c>
      <c r="DB94" s="100" t="s">
        <v>2318</v>
      </c>
      <c r="DC94" s="91"/>
      <c r="DD94" s="91"/>
      <c r="DE94" s="91"/>
      <c r="DF94" s="91"/>
      <c r="DG94" s="92"/>
      <c r="DJ94" s="369" t="s">
        <v>769</v>
      </c>
      <c r="DK94" s="463" t="s">
        <v>770</v>
      </c>
      <c r="DL94" s="369" t="s">
        <v>691</v>
      </c>
      <c r="DM94" s="369" t="s">
        <v>756</v>
      </c>
      <c r="DN94" s="369" t="s">
        <v>757</v>
      </c>
      <c r="DO94" s="462" t="s">
        <v>758</v>
      </c>
      <c r="DQ94" s="58" t="s">
        <v>231</v>
      </c>
    </row>
    <row r="95" spans="2:121" ht="19.5" customHeight="1">
      <c r="B95" s="65" t="s">
        <v>228</v>
      </c>
      <c r="D95" s="475"/>
      <c r="E95" s="129" t="s">
        <v>2328</v>
      </c>
      <c r="F95" s="379">
        <f>(F90+F91)-F92*2</f>
        <v>3</v>
      </c>
      <c r="G95" s="380">
        <f>(G90+G91)-G92*2</f>
        <v>1</v>
      </c>
      <c r="H95" s="381">
        <f>(H90+H91)-H92*2</f>
        <v>-2</v>
      </c>
      <c r="I95" s="119" t="s">
        <v>231</v>
      </c>
      <c r="J95" s="33">
        <f t="shared" si="58"/>
        <v>0.003</v>
      </c>
      <c r="K95" s="33">
        <f t="shared" si="59"/>
        <v>0.001</v>
      </c>
      <c r="L95" s="33">
        <f t="shared" si="60"/>
        <v>-0.002</v>
      </c>
      <c r="M95" s="58" t="s">
        <v>231</v>
      </c>
      <c r="N95" s="55" t="s">
        <v>1</v>
      </c>
      <c r="O95" s="55" t="s">
        <v>2249</v>
      </c>
      <c r="P95" s="2"/>
      <c r="Q95" s="58" t="s">
        <v>2242</v>
      </c>
      <c r="R95" s="2">
        <f t="shared" si="61"/>
        <v>55.668</v>
      </c>
      <c r="S95" s="2">
        <f t="shared" si="61"/>
        <v>38.906</v>
      </c>
      <c r="T95" s="2">
        <f t="shared" si="61"/>
        <v>27.43</v>
      </c>
      <c r="U95" s="55" t="s">
        <v>1</v>
      </c>
      <c r="W95" s="55" t="s">
        <v>1</v>
      </c>
      <c r="X95" s="59" t="s">
        <v>0</v>
      </c>
      <c r="Y95" s="59" t="s">
        <v>0</v>
      </c>
      <c r="Z95" s="59" t="s">
        <v>0</v>
      </c>
      <c r="AA95" s="59" t="s">
        <v>0</v>
      </c>
      <c r="AB95" s="59" t="s">
        <v>0</v>
      </c>
      <c r="AC95" s="59" t="s">
        <v>0</v>
      </c>
      <c r="AD95" s="59" t="s">
        <v>0</v>
      </c>
      <c r="AE95" s="59" t="s">
        <v>0</v>
      </c>
      <c r="AF95" s="59" t="s">
        <v>0</v>
      </c>
      <c r="AG95" s="59" t="s">
        <v>0</v>
      </c>
      <c r="AH95" s="59" t="s">
        <v>0</v>
      </c>
      <c r="AI95" s="59" t="s">
        <v>0</v>
      </c>
      <c r="AJ95" s="59" t="s">
        <v>0</v>
      </c>
      <c r="AK95" s="59" t="s">
        <v>0</v>
      </c>
      <c r="AL95" s="59" t="s">
        <v>0</v>
      </c>
      <c r="AM95" s="59" t="s">
        <v>0</v>
      </c>
      <c r="AN95" s="59" t="s">
        <v>0</v>
      </c>
      <c r="AO95" s="59" t="s">
        <v>0</v>
      </c>
      <c r="AP95" s="59" t="s">
        <v>0</v>
      </c>
      <c r="AQ95" s="59" t="s">
        <v>0</v>
      </c>
      <c r="AR95" s="59" t="s">
        <v>0</v>
      </c>
      <c r="AS95" s="59" t="s">
        <v>0</v>
      </c>
      <c r="AT95" s="59" t="s">
        <v>0</v>
      </c>
      <c r="AU95" s="59" t="s">
        <v>0</v>
      </c>
      <c r="AV95" s="59" t="s">
        <v>0</v>
      </c>
      <c r="AW95" s="59" t="s">
        <v>0</v>
      </c>
      <c r="AX95" s="59" t="s">
        <v>0</v>
      </c>
      <c r="AY95" s="59" t="s">
        <v>0</v>
      </c>
      <c r="AZ95" s="59" t="s">
        <v>0</v>
      </c>
      <c r="BA95" s="59" t="s">
        <v>0</v>
      </c>
      <c r="BB95" s="59" t="s">
        <v>0</v>
      </c>
      <c r="BC95" s="59" t="s">
        <v>0</v>
      </c>
      <c r="BD95" s="59" t="s">
        <v>0</v>
      </c>
      <c r="BE95" s="59" t="s">
        <v>0</v>
      </c>
      <c r="BF95" s="59" t="s">
        <v>0</v>
      </c>
      <c r="BG95" s="59" t="s">
        <v>0</v>
      </c>
      <c r="BH95" s="59" t="s">
        <v>0</v>
      </c>
      <c r="BI95" s="59" t="s">
        <v>0</v>
      </c>
      <c r="BJ95" s="59" t="s">
        <v>0</v>
      </c>
      <c r="BK95" s="59" t="s">
        <v>0</v>
      </c>
      <c r="BL95" s="59" t="s">
        <v>0</v>
      </c>
      <c r="BM95" s="59" t="s">
        <v>0</v>
      </c>
      <c r="BN95" s="59" t="s">
        <v>0</v>
      </c>
      <c r="BO95" s="59" t="s">
        <v>0</v>
      </c>
      <c r="BP95" s="59" t="s">
        <v>0</v>
      </c>
      <c r="BQ95" s="59" t="s">
        <v>0</v>
      </c>
      <c r="BR95" s="59" t="s">
        <v>0</v>
      </c>
      <c r="BS95" s="59" t="s">
        <v>0</v>
      </c>
      <c r="BT95" s="59" t="s">
        <v>0</v>
      </c>
      <c r="BU95" s="59" t="s">
        <v>0</v>
      </c>
      <c r="BV95" s="59" t="s">
        <v>0</v>
      </c>
      <c r="BW95" s="59" t="s">
        <v>0</v>
      </c>
      <c r="BX95" s="59" t="s">
        <v>0</v>
      </c>
      <c r="BY95" s="59" t="s">
        <v>0</v>
      </c>
      <c r="BZ95" s="59" t="s">
        <v>0</v>
      </c>
      <c r="CA95" s="59" t="s">
        <v>0</v>
      </c>
      <c r="CB95" s="59" t="s">
        <v>0</v>
      </c>
      <c r="CC95" s="59" t="s">
        <v>0</v>
      </c>
      <c r="CD95" s="59" t="s">
        <v>0</v>
      </c>
      <c r="CE95" s="59" t="s">
        <v>0</v>
      </c>
      <c r="CF95" s="59" t="s">
        <v>0</v>
      </c>
      <c r="CG95" s="59" t="s">
        <v>0</v>
      </c>
      <c r="CH95" s="59" t="s">
        <v>0</v>
      </c>
      <c r="CI95" s="55" t="s">
        <v>1</v>
      </c>
      <c r="CR95" s="101" t="s">
        <v>501</v>
      </c>
      <c r="DA95" s="75"/>
      <c r="DJ95" s="369" t="s">
        <v>771</v>
      </c>
      <c r="DK95" s="461" t="s">
        <v>772</v>
      </c>
      <c r="DL95" s="369" t="s">
        <v>691</v>
      </c>
      <c r="DM95" s="369" t="s">
        <v>773</v>
      </c>
      <c r="DN95" s="369" t="s">
        <v>774</v>
      </c>
      <c r="DO95" s="462" t="s">
        <v>775</v>
      </c>
      <c r="DQ95" s="58" t="s">
        <v>231</v>
      </c>
    </row>
    <row r="96" spans="2:121" ht="19.5" customHeight="1" thickBot="1">
      <c r="B96" s="10" t="s">
        <v>230</v>
      </c>
      <c r="D96" s="476" t="s">
        <v>2332</v>
      </c>
      <c r="E96" s="129" t="s">
        <v>2328</v>
      </c>
      <c r="F96" s="382">
        <f>F93-F94</f>
        <v>-1</v>
      </c>
      <c r="G96" s="383">
        <f>G93-G94</f>
        <v>0</v>
      </c>
      <c r="H96" s="384">
        <f>H93-H94</f>
        <v>0</v>
      </c>
      <c r="I96" s="119" t="s">
        <v>231</v>
      </c>
      <c r="J96" s="33">
        <f t="shared" si="58"/>
        <v>-0.001</v>
      </c>
      <c r="K96" s="33">
        <f t="shared" si="59"/>
        <v>0</v>
      </c>
      <c r="L96" s="33">
        <f t="shared" si="60"/>
        <v>0</v>
      </c>
      <c r="M96" s="58" t="s">
        <v>231</v>
      </c>
      <c r="N96" s="55" t="s">
        <v>1</v>
      </c>
      <c r="O96" s="55" t="s">
        <v>2250</v>
      </c>
      <c r="P96" s="2"/>
      <c r="Q96" s="58" t="s">
        <v>2240</v>
      </c>
      <c r="R96" s="2">
        <f t="shared" si="61"/>
        <v>0</v>
      </c>
      <c r="S96" s="2">
        <f t="shared" si="61"/>
        <v>0</v>
      </c>
      <c r="T96" s="2">
        <f t="shared" si="61"/>
        <v>0</v>
      </c>
      <c r="U96" s="55" t="s">
        <v>1</v>
      </c>
      <c r="W96" s="55" t="s">
        <v>1</v>
      </c>
      <c r="AC96" s="55" t="s">
        <v>278</v>
      </c>
      <c r="AW96" s="55" t="s">
        <v>279</v>
      </c>
      <c r="BZ96" s="58"/>
      <c r="CA96" s="58"/>
      <c r="CB96" s="58"/>
      <c r="CI96" s="55" t="s">
        <v>1</v>
      </c>
      <c r="DJ96" s="369" t="s">
        <v>776</v>
      </c>
      <c r="DK96" s="461" t="s">
        <v>777</v>
      </c>
      <c r="DL96" s="369" t="s">
        <v>778</v>
      </c>
      <c r="DM96" s="369" t="s">
        <v>779</v>
      </c>
      <c r="DN96" s="369" t="s">
        <v>780</v>
      </c>
      <c r="DO96" s="462" t="s">
        <v>781</v>
      </c>
      <c r="DQ96" s="58" t="s">
        <v>231</v>
      </c>
    </row>
    <row r="97" spans="2:121" ht="19.5" customHeight="1">
      <c r="B97" s="424" t="s">
        <v>2404</v>
      </c>
      <c r="C97" s="54"/>
      <c r="D97" s="54"/>
      <c r="E97" s="54"/>
      <c r="F97" s="54"/>
      <c r="G97" s="54"/>
      <c r="H97" s="54"/>
      <c r="I97" s="54"/>
      <c r="J97" s="486" t="s">
        <v>231</v>
      </c>
      <c r="K97" s="54"/>
      <c r="L97" s="54"/>
      <c r="M97" s="58" t="s">
        <v>231</v>
      </c>
      <c r="N97" s="55" t="s">
        <v>1</v>
      </c>
      <c r="O97" s="59" t="s">
        <v>0</v>
      </c>
      <c r="P97" s="59" t="s">
        <v>0</v>
      </c>
      <c r="Q97" s="59" t="s">
        <v>0</v>
      </c>
      <c r="R97" s="59" t="s">
        <v>0</v>
      </c>
      <c r="S97" s="59" t="s">
        <v>0</v>
      </c>
      <c r="T97" s="59" t="s">
        <v>0</v>
      </c>
      <c r="U97" s="55" t="s">
        <v>1</v>
      </c>
      <c r="W97" s="55" t="s">
        <v>1</v>
      </c>
      <c r="CI97" s="55" t="s">
        <v>1</v>
      </c>
      <c r="DJ97" s="369" t="s">
        <v>782</v>
      </c>
      <c r="DK97" s="463" t="s">
        <v>783</v>
      </c>
      <c r="DL97" s="369" t="s">
        <v>778</v>
      </c>
      <c r="DM97" s="369" t="s">
        <v>779</v>
      </c>
      <c r="DN97" s="369" t="s">
        <v>780</v>
      </c>
      <c r="DO97" s="462" t="s">
        <v>781</v>
      </c>
      <c r="DQ97" s="58" t="s">
        <v>231</v>
      </c>
    </row>
    <row r="98" spans="2:121" ht="19.5" customHeight="1">
      <c r="B98" s="65" t="s">
        <v>346</v>
      </c>
      <c r="K98" s="57" t="s">
        <v>231</v>
      </c>
      <c r="L98" s="59"/>
      <c r="M98" s="58" t="s">
        <v>231</v>
      </c>
      <c r="N98" s="55" t="s">
        <v>1</v>
      </c>
      <c r="O98" s="55" t="s">
        <v>413</v>
      </c>
      <c r="T98" s="55" t="str">
        <f>IF(J12="",0,FIXED(D102,0,TRUE))</f>
        <v>2022</v>
      </c>
      <c r="U98" s="55" t="s">
        <v>1</v>
      </c>
      <c r="W98" s="55" t="s">
        <v>1</v>
      </c>
      <c r="AG98" s="74" t="s">
        <v>27</v>
      </c>
      <c r="AP98" s="7"/>
      <c r="BD98" s="74" t="s">
        <v>28</v>
      </c>
      <c r="BF98" s="7"/>
      <c r="BG98" s="7"/>
      <c r="BH98" s="7"/>
      <c r="BI98" s="7"/>
      <c r="BJ98" s="7"/>
      <c r="BK98" s="7"/>
      <c r="BL98" s="7"/>
      <c r="BM98" s="7"/>
      <c r="BN98" s="7"/>
      <c r="BP98" s="7"/>
      <c r="BQ98" s="55" t="s">
        <v>289</v>
      </c>
      <c r="BS98" s="55" t="s">
        <v>222</v>
      </c>
      <c r="BT98" s="55" t="s">
        <v>288</v>
      </c>
      <c r="BU98" s="55" t="s">
        <v>287</v>
      </c>
      <c r="CI98" s="55" t="s">
        <v>1</v>
      </c>
      <c r="DJ98" s="369" t="s">
        <v>784</v>
      </c>
      <c r="DK98" s="461" t="s">
        <v>785</v>
      </c>
      <c r="DL98" s="369" t="s">
        <v>778</v>
      </c>
      <c r="DM98" s="369" t="s">
        <v>779</v>
      </c>
      <c r="DN98" s="369" t="s">
        <v>780</v>
      </c>
      <c r="DO98" s="462" t="s">
        <v>781</v>
      </c>
      <c r="DQ98" s="58" t="s">
        <v>231</v>
      </c>
    </row>
    <row r="99" spans="2:121" ht="19.5" customHeight="1" thickBot="1">
      <c r="B99" s="424" t="s">
        <v>2404</v>
      </c>
      <c r="C99" s="54"/>
      <c r="D99" s="54"/>
      <c r="E99" s="54"/>
      <c r="F99" s="54"/>
      <c r="G99" s="54"/>
      <c r="H99" s="54"/>
      <c r="I99" s="54"/>
      <c r="J99" s="486" t="s">
        <v>231</v>
      </c>
      <c r="M99" s="58" t="s">
        <v>231</v>
      </c>
      <c r="N99" s="55" t="s">
        <v>1</v>
      </c>
      <c r="O99" s="55">
        <f>IF(J12="",0,H118)</f>
        <v>283</v>
      </c>
      <c r="P99" s="55" t="s">
        <v>327</v>
      </c>
      <c r="R99" s="55" t="str">
        <f>IF(J12="",0,D100)</f>
        <v>PU2301</v>
      </c>
      <c r="U99" s="55" t="s">
        <v>1</v>
      </c>
      <c r="W99" s="55" t="s">
        <v>1</v>
      </c>
      <c r="Z99" s="55" t="s">
        <v>267</v>
      </c>
      <c r="AB99" s="65" t="str">
        <f aca="true" t="shared" si="62" ref="AB99:BP99">IF(AB139=1," S",IF(AB169=1,$T$8,IF(AB199=1,$S$8,IF(AB229=1,$R$8,"--"))))</f>
        <v>--</v>
      </c>
      <c r="AC99" s="65" t="str">
        <f t="shared" si="62"/>
        <v>--</v>
      </c>
      <c r="AD99" s="65" t="str">
        <f t="shared" si="62"/>
        <v>--</v>
      </c>
      <c r="AE99" s="65" t="str">
        <f t="shared" si="62"/>
        <v>--</v>
      </c>
      <c r="AF99" s="65" t="str">
        <f t="shared" si="62"/>
        <v>--</v>
      </c>
      <c r="AG99" s="65" t="str">
        <f t="shared" si="62"/>
        <v>--</v>
      </c>
      <c r="AH99" s="65" t="str">
        <f t="shared" si="62"/>
        <v>--</v>
      </c>
      <c r="AI99" s="65" t="str">
        <f t="shared" si="62"/>
        <v>20</v>
      </c>
      <c r="AJ99" s="65" t="str">
        <f t="shared" si="62"/>
        <v>--</v>
      </c>
      <c r="AK99" s="65" t="str">
        <f t="shared" si="62"/>
        <v>--</v>
      </c>
      <c r="AL99" s="65" t="str">
        <f t="shared" si="62"/>
        <v>--</v>
      </c>
      <c r="AM99" s="65" t="str">
        <f t="shared" si="62"/>
        <v>--</v>
      </c>
      <c r="AN99" s="65" t="str">
        <f t="shared" si="62"/>
        <v>--</v>
      </c>
      <c r="AO99" s="65" t="str">
        <f t="shared" si="62"/>
        <v>--</v>
      </c>
      <c r="AP99" s="65" t="str">
        <f t="shared" si="62"/>
        <v>--</v>
      </c>
      <c r="AQ99" s="65" t="str">
        <f t="shared" si="62"/>
        <v>--</v>
      </c>
      <c r="AR99" s="65" t="str">
        <f t="shared" si="62"/>
        <v>--</v>
      </c>
      <c r="AS99" s="65" t="str">
        <f t="shared" si="62"/>
        <v>--</v>
      </c>
      <c r="AT99" s="65" t="str">
        <f t="shared" si="62"/>
        <v>--</v>
      </c>
      <c r="AU99" s="65" t="str">
        <f t="shared" si="62"/>
        <v>--</v>
      </c>
      <c r="AV99" s="65" t="str">
        <f t="shared" si="62"/>
        <v>--</v>
      </c>
      <c r="AW99" s="65" t="str">
        <f t="shared" si="62"/>
        <v>--</v>
      </c>
      <c r="AX99" s="65" t="str">
        <f t="shared" si="62"/>
        <v>--</v>
      </c>
      <c r="AY99" s="65" t="str">
        <f t="shared" si="62"/>
        <v>--</v>
      </c>
      <c r="AZ99" s="65" t="str">
        <f t="shared" si="62"/>
        <v>21</v>
      </c>
      <c r="BA99" s="65" t="str">
        <f t="shared" si="62"/>
        <v>--</v>
      </c>
      <c r="BB99" s="65" t="str">
        <f t="shared" si="62"/>
        <v>--</v>
      </c>
      <c r="BC99" s="65" t="str">
        <f t="shared" si="62"/>
        <v>--</v>
      </c>
      <c r="BD99" s="65" t="str">
        <f t="shared" si="62"/>
        <v>22</v>
      </c>
      <c r="BE99" s="65" t="str">
        <f t="shared" si="62"/>
        <v>--</v>
      </c>
      <c r="BF99" s="65" t="str">
        <f t="shared" si="62"/>
        <v>--</v>
      </c>
      <c r="BG99" s="65" t="str">
        <f t="shared" si="62"/>
        <v>--</v>
      </c>
      <c r="BH99" s="65" t="str">
        <f t="shared" si="62"/>
        <v>--</v>
      </c>
      <c r="BI99" s="65" t="str">
        <f t="shared" si="62"/>
        <v>--</v>
      </c>
      <c r="BJ99" s="65" t="str">
        <f t="shared" si="62"/>
        <v>--</v>
      </c>
      <c r="BK99" s="65" t="str">
        <f t="shared" si="62"/>
        <v>--</v>
      </c>
      <c r="BL99" s="65" t="str">
        <f t="shared" si="62"/>
        <v>--</v>
      </c>
      <c r="BM99" s="65" t="str">
        <f t="shared" si="62"/>
        <v>--</v>
      </c>
      <c r="BN99" s="65" t="str">
        <f t="shared" si="62"/>
        <v>--</v>
      </c>
      <c r="BO99" s="65" t="str">
        <f t="shared" si="62"/>
        <v>--</v>
      </c>
      <c r="BP99" s="65" t="str">
        <f t="shared" si="62"/>
        <v>--</v>
      </c>
      <c r="BQ99" s="55">
        <f>IF(R166&gt;=1.95,1,0)</f>
        <v>0</v>
      </c>
      <c r="BS99" s="55">
        <f>IF(S150&gt;=1.95,1,0)</f>
        <v>1</v>
      </c>
      <c r="BT99" s="55">
        <f>IF(R150&gt;=1.95,1,0)</f>
        <v>1</v>
      </c>
      <c r="BU99" s="55">
        <f>IF(Q150&gt;=1.95,1,0)</f>
        <v>1</v>
      </c>
      <c r="BW99" s="60"/>
      <c r="BX99" s="26"/>
      <c r="BY99" s="73">
        <f>IF($Q$178&gt;=2.595,1,0)</f>
        <v>0</v>
      </c>
      <c r="BZ99" s="73"/>
      <c r="CA99" s="73">
        <f>IF($R$178&gt;=2.595,1,0)</f>
        <v>0</v>
      </c>
      <c r="CB99" s="73"/>
      <c r="CC99" s="73">
        <f>IF($S$178&gt;=2.595,1,0)</f>
        <v>0</v>
      </c>
      <c r="CD99" s="26"/>
      <c r="CE99" s="101" t="s">
        <v>296</v>
      </c>
      <c r="CI99" s="55" t="s">
        <v>1</v>
      </c>
      <c r="DJ99" s="369" t="s">
        <v>786</v>
      </c>
      <c r="DK99" s="463" t="s">
        <v>787</v>
      </c>
      <c r="DL99" s="369" t="s">
        <v>778</v>
      </c>
      <c r="DM99" s="369" t="s">
        <v>788</v>
      </c>
      <c r="DN99" s="369" t="s">
        <v>789</v>
      </c>
      <c r="DO99" s="462" t="s">
        <v>790</v>
      </c>
      <c r="DQ99" s="58" t="s">
        <v>231</v>
      </c>
    </row>
    <row r="100" spans="2:121" ht="19.5" customHeight="1" thickBot="1">
      <c r="B100" s="105" t="s">
        <v>315</v>
      </c>
      <c r="C100" s="106"/>
      <c r="D100" s="164" t="str">
        <f>+J12</f>
        <v>PU2301</v>
      </c>
      <c r="E100" s="162" t="s">
        <v>342</v>
      </c>
      <c r="F100" s="159"/>
      <c r="G100" s="159"/>
      <c r="H100" s="164" t="str">
        <f>+Q11</f>
        <v>Complet</v>
      </c>
      <c r="I100" s="60"/>
      <c r="M100" s="58" t="s">
        <v>231</v>
      </c>
      <c r="N100" s="55" t="s">
        <v>1</v>
      </c>
      <c r="O100" s="55" t="str">
        <f>IF(J12="",0,Q11)</f>
        <v>Complet</v>
      </c>
      <c r="P100" s="55" t="s">
        <v>325</v>
      </c>
      <c r="Q100" s="55" t="str">
        <f>IF(J12="",0,D101)</f>
        <v>Industrie du caoutchouc, transformation des matières plastiques</v>
      </c>
      <c r="U100" s="55" t="s">
        <v>1</v>
      </c>
      <c r="W100" s="55" t="s">
        <v>1</v>
      </c>
      <c r="AB100" s="65" t="str">
        <f aca="true" t="shared" si="63" ref="AB100:AB108">IF(AB140=1," S",IF(AB170=1,$T$8,IF(AB200=1,$S$8,IF(AB230=1,$R$8,"  |"))))</f>
        <v>  |</v>
      </c>
      <c r="AC100" s="65">
        <f aca="true" t="shared" si="64" ref="AC100:AU100">IF(AC140=1," S",IF(AC170=1,$T$8,IF(AC200=1,$S$8,IF(AC230=1,$R$8,""))))</f>
      </c>
      <c r="AD100" s="65">
        <f t="shared" si="64"/>
      </c>
      <c r="AE100" s="65">
        <f t="shared" si="64"/>
      </c>
      <c r="AF100" s="65">
        <f t="shared" si="64"/>
      </c>
      <c r="AG100" s="65">
        <f t="shared" si="64"/>
      </c>
      <c r="AH100" s="65">
        <f t="shared" si="64"/>
      </c>
      <c r="AI100" s="65">
        <f t="shared" si="64"/>
      </c>
      <c r="AJ100" s="65">
        <f t="shared" si="64"/>
      </c>
      <c r="AK100" s="65">
        <f t="shared" si="64"/>
      </c>
      <c r="AL100" s="65">
        <f t="shared" si="64"/>
      </c>
      <c r="AM100" s="65">
        <f t="shared" si="64"/>
      </c>
      <c r="AN100" s="65">
        <f t="shared" si="64"/>
      </c>
      <c r="AO100" s="65">
        <f t="shared" si="64"/>
      </c>
      <c r="AP100" s="65">
        <f t="shared" si="64"/>
      </c>
      <c r="AQ100" s="65">
        <f t="shared" si="64"/>
      </c>
      <c r="AR100" s="65">
        <f t="shared" si="64"/>
      </c>
      <c r="AS100" s="65">
        <f t="shared" si="64"/>
      </c>
      <c r="AT100" s="65">
        <f t="shared" si="64"/>
      </c>
      <c r="AU100" s="65">
        <f t="shared" si="64"/>
      </c>
      <c r="AV100" s="65" t="str">
        <f aca="true" t="shared" si="65" ref="AV100:AV108">IF(AV140=1," S",IF(AV170=1,$T$8,IF(AV200=1,$S$8,IF(AV230=1,$R$8,"  |"))))</f>
        <v>  |</v>
      </c>
      <c r="AW100" s="65">
        <f aca="true" t="shared" si="66" ref="AW100:BO100">IF(AW140=1," S",IF(AW170=1,$T$8,IF(AW200=1,$S$8,IF(AW230=1,$R$8,""))))</f>
      </c>
      <c r="AX100" s="65">
        <f t="shared" si="66"/>
      </c>
      <c r="AY100" s="65">
        <f t="shared" si="66"/>
      </c>
      <c r="AZ100" s="65">
        <f t="shared" si="66"/>
      </c>
      <c r="BA100" s="65">
        <f t="shared" si="66"/>
      </c>
      <c r="BB100" s="65">
        <f t="shared" si="66"/>
      </c>
      <c r="BC100" s="65">
        <f t="shared" si="66"/>
      </c>
      <c r="BD100" s="65">
        <f t="shared" si="66"/>
      </c>
      <c r="BE100" s="65">
        <f t="shared" si="66"/>
      </c>
      <c r="BF100" s="65">
        <f t="shared" si="66"/>
      </c>
      <c r="BG100" s="65">
        <f t="shared" si="66"/>
      </c>
      <c r="BH100" s="65">
        <f t="shared" si="66"/>
      </c>
      <c r="BI100" s="65">
        <f t="shared" si="66"/>
      </c>
      <c r="BJ100" s="65">
        <f t="shared" si="66"/>
      </c>
      <c r="BK100" s="65">
        <f t="shared" si="66"/>
      </c>
      <c r="BL100" s="65">
        <f t="shared" si="66"/>
      </c>
      <c r="BM100" s="65">
        <f t="shared" si="66"/>
      </c>
      <c r="BN100" s="65">
        <f t="shared" si="66"/>
      </c>
      <c r="BO100" s="65">
        <f t="shared" si="66"/>
      </c>
      <c r="BP100" s="65" t="str">
        <f aca="true" t="shared" si="67" ref="BP100:BP108">IF(BP140=1," S",IF(BP170=1,$T$8,IF(BP200=1,$S$8,IF(BP230=1,$R$8,"  |"))))</f>
        <v>  |</v>
      </c>
      <c r="BQ100" s="55">
        <f>IF(R166&gt;=1.85,IF(R166&lt;1.95,1,0),0)</f>
        <v>0</v>
      </c>
      <c r="BS100" s="55">
        <f>IF(S150&gt;=1.85,IF(S150&lt;1.95,1,0),0)</f>
        <v>0</v>
      </c>
      <c r="BT100" s="55">
        <f>IF(R150&gt;=1.85,IF(R150&lt;1.95,1,0),0)</f>
        <v>0</v>
      </c>
      <c r="BU100" s="55">
        <f>IF(Q150&gt;=1.85,IF(Q150&lt;1.95,1,0),0)</f>
        <v>0</v>
      </c>
      <c r="BW100" s="28" t="s">
        <v>18</v>
      </c>
      <c r="BX100" s="26"/>
      <c r="BY100" s="73">
        <f>IF($Q$178&gt;=2.165,IF($Q$178&lt;2.595,1,0),0)</f>
        <v>1</v>
      </c>
      <c r="BZ100" s="73"/>
      <c r="CA100" s="73">
        <f>IF($R$178&gt;=2.165,IF($R$178&lt;2.595,1,0),0)</f>
        <v>1</v>
      </c>
      <c r="CB100" s="73"/>
      <c r="CC100" s="73">
        <f>IF($S$178&gt;=2.165,IF($S$178&lt;2.595,1,0),0)</f>
        <v>1</v>
      </c>
      <c r="CD100" s="26"/>
      <c r="CI100" s="55" t="s">
        <v>1</v>
      </c>
      <c r="DJ100" s="369" t="s">
        <v>791</v>
      </c>
      <c r="DK100" s="463" t="s">
        <v>792</v>
      </c>
      <c r="DL100" s="369" t="s">
        <v>778</v>
      </c>
      <c r="DM100" s="369" t="s">
        <v>793</v>
      </c>
      <c r="DN100" s="369" t="s">
        <v>794</v>
      </c>
      <c r="DO100" s="462" t="s">
        <v>791</v>
      </c>
      <c r="DQ100" s="58" t="s">
        <v>231</v>
      </c>
    </row>
    <row r="101" spans="2:121" ht="19.5" customHeight="1" thickBot="1">
      <c r="B101" s="105" t="s">
        <v>324</v>
      </c>
      <c r="D101" s="165" t="str">
        <f>+K6</f>
        <v>Industrie du caoutchouc, transformation des matières plastiques</v>
      </c>
      <c r="E101" s="166"/>
      <c r="F101" s="166"/>
      <c r="G101" s="166"/>
      <c r="H101" s="167"/>
      <c r="I101" s="392" t="s">
        <v>231</v>
      </c>
      <c r="J101" s="393"/>
      <c r="M101" s="58" t="s">
        <v>231</v>
      </c>
      <c r="N101" s="55" t="s">
        <v>1</v>
      </c>
      <c r="O101" s="59" t="s">
        <v>3</v>
      </c>
      <c r="P101" s="59" t="s">
        <v>3</v>
      </c>
      <c r="Q101" s="59" t="s">
        <v>3</v>
      </c>
      <c r="R101" s="59" t="s">
        <v>3</v>
      </c>
      <c r="S101" s="59" t="s">
        <v>3</v>
      </c>
      <c r="T101" s="59" t="s">
        <v>3</v>
      </c>
      <c r="U101" s="55" t="s">
        <v>1</v>
      </c>
      <c r="W101" s="55" t="s">
        <v>1</v>
      </c>
      <c r="Z101" s="55" t="s">
        <v>268</v>
      </c>
      <c r="AB101" s="65" t="str">
        <f t="shared" si="63"/>
        <v>  |</v>
      </c>
      <c r="AC101" s="65">
        <f aca="true" t="shared" si="68" ref="AC101:AU101">IF(AC141=1," S",IF(AC171=1,$T$8,IF(AC201=1,$S$8,IF(AC231=1,$R$8,""))))</f>
      </c>
      <c r="AD101" s="65">
        <f t="shared" si="68"/>
      </c>
      <c r="AE101" s="65">
        <f t="shared" si="68"/>
      </c>
      <c r="AF101" s="65">
        <f t="shared" si="68"/>
      </c>
      <c r="AG101" s="65">
        <f t="shared" si="68"/>
      </c>
      <c r="AH101" s="65">
        <f t="shared" si="68"/>
      </c>
      <c r="AI101" s="65">
        <f t="shared" si="68"/>
      </c>
      <c r="AJ101" s="65">
        <f t="shared" si="68"/>
      </c>
      <c r="AK101" s="65">
        <f t="shared" si="68"/>
      </c>
      <c r="AL101" s="65">
        <f t="shared" si="68"/>
      </c>
      <c r="AM101" s="65">
        <f t="shared" si="68"/>
      </c>
      <c r="AN101" s="65">
        <f t="shared" si="68"/>
      </c>
      <c r="AO101" s="65">
        <f t="shared" si="68"/>
      </c>
      <c r="AP101" s="65">
        <f t="shared" si="68"/>
      </c>
      <c r="AQ101" s="65">
        <f t="shared" si="68"/>
      </c>
      <c r="AR101" s="65">
        <f t="shared" si="68"/>
      </c>
      <c r="AS101" s="65">
        <f t="shared" si="68"/>
      </c>
      <c r="AT101" s="65">
        <f t="shared" si="68"/>
      </c>
      <c r="AU101" s="65">
        <f t="shared" si="68"/>
      </c>
      <c r="AV101" s="65" t="str">
        <f t="shared" si="65"/>
        <v>  |</v>
      </c>
      <c r="AW101" s="65">
        <f aca="true" t="shared" si="69" ref="AW101:BO101">IF(AW141=1," S",IF(AW171=1,$T$8,IF(AW201=1,$S$8,IF(AW231=1,$R$8,""))))</f>
      </c>
      <c r="AX101" s="65">
        <f t="shared" si="69"/>
      </c>
      <c r="AY101" s="65">
        <f t="shared" si="69"/>
      </c>
      <c r="AZ101" s="65">
        <f t="shared" si="69"/>
      </c>
      <c r="BA101" s="65">
        <f t="shared" si="69"/>
      </c>
      <c r="BB101" s="65">
        <f t="shared" si="69"/>
      </c>
      <c r="BC101" s="65">
        <f t="shared" si="69"/>
      </c>
      <c r="BD101" s="65">
        <f t="shared" si="69"/>
      </c>
      <c r="BE101" s="65">
        <f t="shared" si="69"/>
      </c>
      <c r="BF101" s="65">
        <f t="shared" si="69"/>
      </c>
      <c r="BG101" s="65">
        <f t="shared" si="69"/>
      </c>
      <c r="BH101" s="65">
        <f t="shared" si="69"/>
      </c>
      <c r="BI101" s="65">
        <f t="shared" si="69"/>
      </c>
      <c r="BJ101" s="65">
        <f t="shared" si="69"/>
      </c>
      <c r="BK101" s="65">
        <f t="shared" si="69"/>
      </c>
      <c r="BL101" s="65">
        <f t="shared" si="69"/>
      </c>
      <c r="BM101" s="65">
        <f t="shared" si="69"/>
      </c>
      <c r="BN101" s="65">
        <f t="shared" si="69"/>
      </c>
      <c r="BO101" s="65">
        <f t="shared" si="69"/>
      </c>
      <c r="BP101" s="65" t="str">
        <f t="shared" si="67"/>
        <v>  |</v>
      </c>
      <c r="BQ101" s="55">
        <f>IF(R166&gt;=1.75,IF(R166&lt;1.85,1,0),0)</f>
        <v>0</v>
      </c>
      <c r="BS101" s="55">
        <f>IF(S150&gt;=1.75,IF(S150&lt;1.85,1,0),0)</f>
        <v>0</v>
      </c>
      <c r="BT101" s="55">
        <f>IF(R150&gt;=1.75,IF(R150&lt;1.85,1,0),0)</f>
        <v>0</v>
      </c>
      <c r="BU101" s="55">
        <f>IF(Q150&gt;=1.75,IF(Q150&lt;1.85,1,0),0)</f>
        <v>0</v>
      </c>
      <c r="BW101" s="28"/>
      <c r="BX101" s="26"/>
      <c r="BY101" s="73">
        <f>IF($Q$178&gt;=1.735,IF($Q$178&lt;2.165,1,0),0)</f>
        <v>0</v>
      </c>
      <c r="BZ101" s="73"/>
      <c r="CA101" s="73">
        <f>IF($R$178&gt;=1.735,IF($R$178&lt;2.165,1,0),0)</f>
        <v>0</v>
      </c>
      <c r="CB101" s="73"/>
      <c r="CC101" s="73">
        <f>IF($S$178&gt;=1.735,IF($S$178&lt;2.165,1,0),0)</f>
        <v>0</v>
      </c>
      <c r="CD101" s="26"/>
      <c r="CE101" s="58" t="s">
        <v>294</v>
      </c>
      <c r="CI101" s="55" t="s">
        <v>1</v>
      </c>
      <c r="DJ101" s="369" t="s">
        <v>795</v>
      </c>
      <c r="DK101" s="463" t="s">
        <v>796</v>
      </c>
      <c r="DL101" s="369" t="s">
        <v>778</v>
      </c>
      <c r="DM101" s="369" t="s">
        <v>788</v>
      </c>
      <c r="DN101" s="369" t="s">
        <v>789</v>
      </c>
      <c r="DO101" s="462" t="s">
        <v>790</v>
      </c>
      <c r="DQ101" s="58" t="s">
        <v>231</v>
      </c>
    </row>
    <row r="102" spans="2:121" ht="19.5" customHeight="1" thickBot="1">
      <c r="B102" s="105" t="s">
        <v>343</v>
      </c>
      <c r="C102" s="106"/>
      <c r="D102" s="163">
        <f>+K12</f>
        <v>2022</v>
      </c>
      <c r="E102" s="160"/>
      <c r="F102" s="159"/>
      <c r="G102" s="159"/>
      <c r="H102" s="159"/>
      <c r="I102" s="161"/>
      <c r="J102" s="134"/>
      <c r="M102" s="58" t="s">
        <v>231</v>
      </c>
      <c r="N102" s="55" t="s">
        <v>1</v>
      </c>
      <c r="O102" s="75" t="s">
        <v>232</v>
      </c>
      <c r="Q102" s="75" t="s">
        <v>314</v>
      </c>
      <c r="R102" s="75" t="s">
        <v>2258</v>
      </c>
      <c r="S102" s="55" t="s">
        <v>313</v>
      </c>
      <c r="U102" s="55" t="s">
        <v>1</v>
      </c>
      <c r="W102" s="55" t="s">
        <v>1</v>
      </c>
      <c r="AB102" s="65" t="str">
        <f t="shared" si="63"/>
        <v>  |</v>
      </c>
      <c r="AC102" s="65">
        <f aca="true" t="shared" si="70" ref="AC102:AU102">IF(AC142=1," S",IF(AC172=1,$T$8,IF(AC202=1,$S$8,IF(AC232=1,$R$8,""))))</f>
      </c>
      <c r="AD102" s="65">
        <f t="shared" si="70"/>
      </c>
      <c r="AE102" s="65">
        <f t="shared" si="70"/>
      </c>
      <c r="AF102" s="65">
        <f t="shared" si="70"/>
      </c>
      <c r="AG102" s="65">
        <f t="shared" si="70"/>
      </c>
      <c r="AH102" s="65">
        <f t="shared" si="70"/>
      </c>
      <c r="AI102" s="65">
        <f t="shared" si="70"/>
      </c>
      <c r="AJ102" s="65">
        <f t="shared" si="70"/>
      </c>
      <c r="AK102" s="65">
        <f t="shared" si="70"/>
      </c>
      <c r="AL102" s="65">
        <f t="shared" si="70"/>
      </c>
      <c r="AM102" s="65">
        <f t="shared" si="70"/>
      </c>
      <c r="AN102" s="65">
        <f t="shared" si="70"/>
      </c>
      <c r="AO102" s="65">
        <f t="shared" si="70"/>
      </c>
      <c r="AP102" s="65">
        <f t="shared" si="70"/>
      </c>
      <c r="AQ102" s="65">
        <f t="shared" si="70"/>
      </c>
      <c r="AR102" s="65">
        <f t="shared" si="70"/>
      </c>
      <c r="AS102" s="65">
        <f t="shared" si="70"/>
      </c>
      <c r="AT102" s="65">
        <f t="shared" si="70"/>
      </c>
      <c r="AU102" s="65">
        <f t="shared" si="70"/>
      </c>
      <c r="AV102" s="65" t="str">
        <f t="shared" si="65"/>
        <v>  |</v>
      </c>
      <c r="AW102" s="65">
        <f aca="true" t="shared" si="71" ref="AW102:BO102">IF(AW142=1," S",IF(AW172=1,$T$8,IF(AW202=1,$S$8,IF(AW232=1,$R$8,""))))</f>
      </c>
      <c r="AX102" s="65">
        <f t="shared" si="71"/>
      </c>
      <c r="AY102" s="65">
        <f t="shared" si="71"/>
      </c>
      <c r="AZ102" s="65">
        <f t="shared" si="71"/>
      </c>
      <c r="BA102" s="65">
        <f t="shared" si="71"/>
      </c>
      <c r="BB102" s="65">
        <f t="shared" si="71"/>
      </c>
      <c r="BC102" s="65">
        <f t="shared" si="71"/>
      </c>
      <c r="BD102" s="65">
        <f t="shared" si="71"/>
      </c>
      <c r="BE102" s="65">
        <f t="shared" si="71"/>
      </c>
      <c r="BF102" s="65">
        <f t="shared" si="71"/>
      </c>
      <c r="BG102" s="65">
        <f t="shared" si="71"/>
      </c>
      <c r="BH102" s="65">
        <f t="shared" si="71"/>
      </c>
      <c r="BI102" s="65">
        <f t="shared" si="71"/>
      </c>
      <c r="BJ102" s="65">
        <f t="shared" si="71"/>
      </c>
      <c r="BK102" s="65">
        <f t="shared" si="71"/>
      </c>
      <c r="BL102" s="65">
        <f t="shared" si="71"/>
      </c>
      <c r="BM102" s="65">
        <f t="shared" si="71"/>
      </c>
      <c r="BN102" s="65">
        <f t="shared" si="71"/>
      </c>
      <c r="BO102" s="65">
        <f t="shared" si="71"/>
      </c>
      <c r="BP102" s="65" t="str">
        <f t="shared" si="67"/>
        <v>  |</v>
      </c>
      <c r="BQ102" s="55">
        <f>IF(R166&gt;=1.65,IF(R166&lt;1.75,1,0),0)</f>
        <v>0</v>
      </c>
      <c r="BS102" s="55">
        <f>IF(S150&gt;=1.65,IF(S150&lt;1.75,1,0),0)</f>
        <v>0</v>
      </c>
      <c r="BT102" s="55">
        <f>IF(R150&gt;=1.65,IF(R150&lt;1.75,1,0),0)</f>
        <v>0</v>
      </c>
      <c r="BU102" s="55">
        <f>IF(Q150&gt;=1.65,IF(Q150&lt;1.75,1,0),0)</f>
        <v>0</v>
      </c>
      <c r="BW102" s="28" t="s">
        <v>25</v>
      </c>
      <c r="BX102" s="26"/>
      <c r="BY102" s="73">
        <f>IF($Q$178&gt;=1.305,IF($Q$178&lt;1.735,1,0),0)</f>
        <v>0</v>
      </c>
      <c r="BZ102" s="73"/>
      <c r="CA102" s="73">
        <f>IF($R$178&gt;=1.305,IF($R$178&lt;1.735,1,0),0)</f>
        <v>0</v>
      </c>
      <c r="CB102" s="73"/>
      <c r="CC102" s="73">
        <f>IF($S$178&gt;=1.305,IF($S$178&lt;1.735,1,0),0)</f>
        <v>0</v>
      </c>
      <c r="CD102" s="26"/>
      <c r="CI102" s="55" t="s">
        <v>1</v>
      </c>
      <c r="DJ102" s="369" t="s">
        <v>797</v>
      </c>
      <c r="DK102" s="463" t="s">
        <v>798</v>
      </c>
      <c r="DL102" s="369" t="s">
        <v>778</v>
      </c>
      <c r="DM102" s="369" t="s">
        <v>788</v>
      </c>
      <c r="DN102" s="369" t="s">
        <v>789</v>
      </c>
      <c r="DO102" s="462" t="s">
        <v>790</v>
      </c>
      <c r="DQ102" s="58" t="s">
        <v>231</v>
      </c>
    </row>
    <row r="103" spans="4:121" ht="19.5" customHeight="1">
      <c r="D103" s="107"/>
      <c r="E103" s="108"/>
      <c r="F103" s="106"/>
      <c r="G103" s="106"/>
      <c r="H103" s="106"/>
      <c r="I103" s="109"/>
      <c r="J103" s="107"/>
      <c r="M103" s="58" t="s">
        <v>231</v>
      </c>
      <c r="N103" s="55" t="s">
        <v>1</v>
      </c>
      <c r="O103" s="59" t="s">
        <v>3</v>
      </c>
      <c r="P103" s="59" t="s">
        <v>3</v>
      </c>
      <c r="Q103" s="59" t="s">
        <v>3</v>
      </c>
      <c r="R103" s="59" t="s">
        <v>3</v>
      </c>
      <c r="S103" s="59" t="s">
        <v>3</v>
      </c>
      <c r="T103" s="59" t="s">
        <v>3</v>
      </c>
      <c r="U103" s="55" t="s">
        <v>1</v>
      </c>
      <c r="W103" s="55" t="s">
        <v>1</v>
      </c>
      <c r="Z103" s="55" t="s">
        <v>269</v>
      </c>
      <c r="AB103" s="65" t="str">
        <f t="shared" si="63"/>
        <v>  |</v>
      </c>
      <c r="AC103" s="65">
        <f aca="true" t="shared" si="72" ref="AC103:AU103">IF(AC143=1," S",IF(AC173=1,$T$8,IF(AC203=1,$S$8,IF(AC233=1,$R$8,""))))</f>
      </c>
      <c r="AD103" s="65">
        <f t="shared" si="72"/>
      </c>
      <c r="AE103" s="65">
        <f t="shared" si="72"/>
      </c>
      <c r="AF103" s="65">
        <f t="shared" si="72"/>
      </c>
      <c r="AG103" s="65">
        <f t="shared" si="72"/>
      </c>
      <c r="AH103" s="65">
        <f t="shared" si="72"/>
      </c>
      <c r="AI103" s="65">
        <f t="shared" si="72"/>
      </c>
      <c r="AJ103" s="65">
        <f t="shared" si="72"/>
      </c>
      <c r="AK103" s="65">
        <f t="shared" si="72"/>
      </c>
      <c r="AL103" s="65">
        <f t="shared" si="72"/>
      </c>
      <c r="AM103" s="65">
        <f t="shared" si="72"/>
      </c>
      <c r="AN103" s="65">
        <f t="shared" si="72"/>
      </c>
      <c r="AO103" s="65">
        <f t="shared" si="72"/>
      </c>
      <c r="AP103" s="65">
        <f t="shared" si="72"/>
      </c>
      <c r="AQ103" s="65">
        <f t="shared" si="72"/>
      </c>
      <c r="AR103" s="65">
        <f t="shared" si="72"/>
      </c>
      <c r="AS103" s="65">
        <f t="shared" si="72"/>
      </c>
      <c r="AT103" s="65">
        <f t="shared" si="72"/>
      </c>
      <c r="AU103" s="65">
        <f t="shared" si="72"/>
      </c>
      <c r="AV103" s="65" t="str">
        <f t="shared" si="65"/>
        <v>  |</v>
      </c>
      <c r="AW103" s="65">
        <f aca="true" t="shared" si="73" ref="AW103:BO103">IF(AW143=1," S",IF(AW173=1,$T$8,IF(AW203=1,$S$8,IF(AW233=1,$R$8,""))))</f>
      </c>
      <c r="AX103" s="65">
        <f t="shared" si="73"/>
      </c>
      <c r="AY103" s="65">
        <f t="shared" si="73"/>
      </c>
      <c r="AZ103" s="65">
        <f t="shared" si="73"/>
      </c>
      <c r="BA103" s="65">
        <f t="shared" si="73"/>
      </c>
      <c r="BB103" s="65">
        <f t="shared" si="73"/>
      </c>
      <c r="BC103" s="65">
        <f t="shared" si="73"/>
      </c>
      <c r="BD103" s="65">
        <f t="shared" si="73"/>
      </c>
      <c r="BE103" s="65">
        <f t="shared" si="73"/>
      </c>
      <c r="BF103" s="65">
        <f t="shared" si="73"/>
      </c>
      <c r="BG103" s="65">
        <f t="shared" si="73"/>
      </c>
      <c r="BH103" s="65">
        <f t="shared" si="73"/>
      </c>
      <c r="BI103" s="65">
        <f t="shared" si="73"/>
      </c>
      <c r="BJ103" s="65">
        <f t="shared" si="73"/>
      </c>
      <c r="BK103" s="65">
        <f t="shared" si="73"/>
      </c>
      <c r="BL103" s="65">
        <f t="shared" si="73"/>
      </c>
      <c r="BM103" s="65">
        <f t="shared" si="73"/>
      </c>
      <c r="BN103" s="65">
        <f t="shared" si="73"/>
      </c>
      <c r="BO103" s="65">
        <f t="shared" si="73"/>
      </c>
      <c r="BP103" s="65" t="str">
        <f t="shared" si="67"/>
        <v>  |</v>
      </c>
      <c r="BQ103" s="55">
        <f>IF(R166&gt;=1.55,IF(R166&lt;1.65,1,0),0)</f>
        <v>0</v>
      </c>
      <c r="BS103" s="55">
        <f>IF(S150&gt;=1.55,IF(S150&lt;1.65,1,0),0)</f>
        <v>0</v>
      </c>
      <c r="BT103" s="55">
        <f>IF(R150&gt;=1.55,IF(R150&lt;1.65,1,0),0)</f>
        <v>0</v>
      </c>
      <c r="BU103" s="55">
        <f>IF(Q150&gt;=1.55,IF(Q150&lt;1.65,1,0),0)</f>
        <v>0</v>
      </c>
      <c r="BW103" s="28"/>
      <c r="BX103" s="26"/>
      <c r="BY103" s="73">
        <f>IF($Q$178&gt;=0.865,IF($Q$178&lt;1.305,1,0),0)</f>
        <v>0</v>
      </c>
      <c r="BZ103" s="73"/>
      <c r="CA103" s="73">
        <f>IF($R$178&gt;=0.865,IF($R$178&lt;1.305,1,0),0)</f>
        <v>0</v>
      </c>
      <c r="CB103" s="73"/>
      <c r="CC103" s="73">
        <f>IF($S$178&gt;=0.865,IF($S$178&lt;1.305,1,0),0)</f>
        <v>0</v>
      </c>
      <c r="CD103" s="26"/>
      <c r="CE103" s="101" t="s">
        <v>295</v>
      </c>
      <c r="CI103" s="55" t="s">
        <v>1</v>
      </c>
      <c r="DJ103" s="369" t="s">
        <v>799</v>
      </c>
      <c r="DK103" s="463" t="s">
        <v>800</v>
      </c>
      <c r="DL103" s="369" t="s">
        <v>778</v>
      </c>
      <c r="DM103" s="369" t="s">
        <v>788</v>
      </c>
      <c r="DN103" s="369" t="s">
        <v>789</v>
      </c>
      <c r="DO103" s="462" t="s">
        <v>790</v>
      </c>
      <c r="DQ103" s="58" t="s">
        <v>231</v>
      </c>
    </row>
    <row r="104" spans="2:121" ht="19.5" customHeight="1">
      <c r="B104" s="113" t="s">
        <v>344</v>
      </c>
      <c r="E104" s="114" t="s">
        <v>316</v>
      </c>
      <c r="F104" s="114" t="s">
        <v>234</v>
      </c>
      <c r="G104" s="114" t="s">
        <v>2256</v>
      </c>
      <c r="H104" s="114" t="s">
        <v>2257</v>
      </c>
      <c r="M104" s="58" t="s">
        <v>231</v>
      </c>
      <c r="N104" s="55" t="s">
        <v>1</v>
      </c>
      <c r="O104" s="55">
        <v>2</v>
      </c>
      <c r="Q104" s="2">
        <f aca="true" t="shared" si="74" ref="Q104:S105">IF($J$12="",0,F106)</f>
        <v>5.7</v>
      </c>
      <c r="R104" s="2">
        <f t="shared" si="74"/>
        <v>3.3</v>
      </c>
      <c r="S104" s="49">
        <f t="shared" si="74"/>
        <v>276</v>
      </c>
      <c r="U104" s="55" t="s">
        <v>1</v>
      </c>
      <c r="W104" s="55" t="s">
        <v>1</v>
      </c>
      <c r="AB104" s="65" t="str">
        <f t="shared" si="63"/>
        <v>  |</v>
      </c>
      <c r="AC104" s="65">
        <f aca="true" t="shared" si="75" ref="AC104:AU104">IF(AC144=1," S",IF(AC174=1,$T$8,IF(AC204=1,$S$8,IF(AC234=1,$R$8,""))))</f>
      </c>
      <c r="AD104" s="65">
        <f t="shared" si="75"/>
      </c>
      <c r="AE104" s="65">
        <f t="shared" si="75"/>
      </c>
      <c r="AF104" s="65">
        <f t="shared" si="75"/>
      </c>
      <c r="AG104" s="65">
        <f t="shared" si="75"/>
      </c>
      <c r="AH104" s="65">
        <f t="shared" si="75"/>
      </c>
      <c r="AI104" s="65">
        <f t="shared" si="75"/>
      </c>
      <c r="AJ104" s="65">
        <f t="shared" si="75"/>
      </c>
      <c r="AK104" s="65">
        <f t="shared" si="75"/>
      </c>
      <c r="AL104" s="65">
        <f t="shared" si="75"/>
      </c>
      <c r="AM104" s="65">
        <f t="shared" si="75"/>
      </c>
      <c r="AN104" s="65">
        <f t="shared" si="75"/>
      </c>
      <c r="AO104" s="65">
        <f t="shared" si="75"/>
      </c>
      <c r="AP104" s="65">
        <f t="shared" si="75"/>
      </c>
      <c r="AQ104" s="65">
        <f t="shared" si="75"/>
      </c>
      <c r="AR104" s="65">
        <f t="shared" si="75"/>
      </c>
      <c r="AS104" s="65">
        <f t="shared" si="75"/>
      </c>
      <c r="AT104" s="65">
        <f t="shared" si="75"/>
      </c>
      <c r="AU104" s="65">
        <f t="shared" si="75"/>
      </c>
      <c r="AV104" s="65" t="str">
        <f t="shared" si="65"/>
        <v>  |</v>
      </c>
      <c r="AW104" s="65">
        <f aca="true" t="shared" si="76" ref="AW104:BO104">IF(AW144=1," S",IF(AW174=1,$T$8,IF(AW204=1,$S$8,IF(AW234=1,$R$8,""))))</f>
      </c>
      <c r="AX104" s="65">
        <f t="shared" si="76"/>
      </c>
      <c r="AY104" s="65">
        <f t="shared" si="76"/>
      </c>
      <c r="AZ104" s="65">
        <f t="shared" si="76"/>
      </c>
      <c r="BA104" s="65" t="str">
        <f t="shared" si="76"/>
        <v> S</v>
      </c>
      <c r="BB104" s="65">
        <f t="shared" si="76"/>
      </c>
      <c r="BC104" s="65">
        <f t="shared" si="76"/>
      </c>
      <c r="BD104" s="65">
        <f t="shared" si="76"/>
      </c>
      <c r="BE104" s="65">
        <f t="shared" si="76"/>
      </c>
      <c r="BF104" s="65">
        <f t="shared" si="76"/>
      </c>
      <c r="BG104" s="65">
        <f t="shared" si="76"/>
      </c>
      <c r="BH104" s="65">
        <f t="shared" si="76"/>
      </c>
      <c r="BI104" s="65">
        <f t="shared" si="76"/>
      </c>
      <c r="BJ104" s="65">
        <f t="shared" si="76"/>
      </c>
      <c r="BK104" s="65">
        <f t="shared" si="76"/>
      </c>
      <c r="BL104" s="65">
        <f t="shared" si="76"/>
      </c>
      <c r="BM104" s="65">
        <f t="shared" si="76"/>
      </c>
      <c r="BN104" s="65">
        <f t="shared" si="76"/>
      </c>
      <c r="BO104" s="65">
        <f t="shared" si="76"/>
      </c>
      <c r="BP104" s="65" t="str">
        <f t="shared" si="67"/>
        <v>  |</v>
      </c>
      <c r="BQ104" s="55">
        <f>IF(R166&gt;=1.45,IF(R166&lt;1.55,1,0),0)</f>
        <v>1</v>
      </c>
      <c r="BS104" s="55">
        <f>IF(S150&gt;=1.45,IF(S150&lt;1.55,1,0),0)</f>
        <v>0</v>
      </c>
      <c r="BT104" s="55">
        <f>IF(R150&gt;=1.45,IF(R150&lt;1.55,1,0),0)</f>
        <v>0</v>
      </c>
      <c r="BU104" s="55">
        <f>IF(Q150&gt;=1.45,IF(Q150&lt;1.55,1,0),0)</f>
        <v>0</v>
      </c>
      <c r="BW104" s="28" t="s">
        <v>32</v>
      </c>
      <c r="BX104" s="26"/>
      <c r="BY104" s="73">
        <f>IF($Q$178&gt;=0.815,IF($Q$178&lt;0.865,1,0),0)</f>
        <v>0</v>
      </c>
      <c r="BZ104" s="73"/>
      <c r="CA104" s="73">
        <f>IF($R$178&gt;=0.815,IF($R$178&lt;0.865,1,0),0)</f>
        <v>0</v>
      </c>
      <c r="CB104" s="73"/>
      <c r="CC104" s="73">
        <f>IF($S$178&gt;=0.815,IF($S$178&lt;0.865,1,0),0)</f>
        <v>0</v>
      </c>
      <c r="CD104" s="26"/>
      <c r="CI104" s="55" t="s">
        <v>1</v>
      </c>
      <c r="DJ104" s="369" t="s">
        <v>801</v>
      </c>
      <c r="DK104" s="461" t="s">
        <v>802</v>
      </c>
      <c r="DL104" s="369" t="s">
        <v>778</v>
      </c>
      <c r="DM104" s="369" t="s">
        <v>788</v>
      </c>
      <c r="DN104" s="369" t="s">
        <v>789</v>
      </c>
      <c r="DO104" s="462" t="s">
        <v>790</v>
      </c>
      <c r="DQ104" s="58" t="s">
        <v>231</v>
      </c>
    </row>
    <row r="105" spans="13:121" ht="19.5" customHeight="1">
      <c r="M105" s="58" t="s">
        <v>231</v>
      </c>
      <c r="N105" s="55" t="s">
        <v>1</v>
      </c>
      <c r="O105" s="55">
        <v>3</v>
      </c>
      <c r="Q105" s="2">
        <f t="shared" si="74"/>
        <v>28.9</v>
      </c>
      <c r="R105" s="2">
        <f t="shared" si="74"/>
        <v>24.1</v>
      </c>
      <c r="S105" s="49">
        <f t="shared" si="74"/>
        <v>275</v>
      </c>
      <c r="U105" s="55" t="s">
        <v>1</v>
      </c>
      <c r="W105" s="55" t="s">
        <v>1</v>
      </c>
      <c r="Z105" s="55" t="s">
        <v>270</v>
      </c>
      <c r="AB105" s="65" t="str">
        <f t="shared" si="63"/>
        <v>  |</v>
      </c>
      <c r="AC105" s="65">
        <f aca="true" t="shared" si="77" ref="AC105:AU105">IF(AC145=1," S",IF(AC175=1,$T$8,IF(AC205=1,$S$8,IF(AC235=1,$R$8,""))))</f>
      </c>
      <c r="AD105" s="65">
        <f t="shared" si="77"/>
      </c>
      <c r="AE105" s="65">
        <f t="shared" si="77"/>
      </c>
      <c r="AF105" s="65">
        <f t="shared" si="77"/>
      </c>
      <c r="AG105" s="65">
        <f t="shared" si="77"/>
      </c>
      <c r="AH105" s="65">
        <f t="shared" si="77"/>
      </c>
      <c r="AI105" s="65">
        <f t="shared" si="77"/>
      </c>
      <c r="AJ105" s="65">
        <f t="shared" si="77"/>
      </c>
      <c r="AK105" s="65">
        <f t="shared" si="77"/>
      </c>
      <c r="AL105" s="65">
        <f t="shared" si="77"/>
      </c>
      <c r="AM105" s="65">
        <f t="shared" si="77"/>
      </c>
      <c r="AN105" s="65">
        <f t="shared" si="77"/>
      </c>
      <c r="AO105" s="65">
        <f t="shared" si="77"/>
      </c>
      <c r="AP105" s="65">
        <f t="shared" si="77"/>
      </c>
      <c r="AQ105" s="65">
        <f t="shared" si="77"/>
      </c>
      <c r="AR105" s="65">
        <f t="shared" si="77"/>
      </c>
      <c r="AS105" s="65">
        <f t="shared" si="77"/>
      </c>
      <c r="AT105" s="65">
        <f t="shared" si="77"/>
      </c>
      <c r="AU105" s="65">
        <f t="shared" si="77"/>
      </c>
      <c r="AV105" s="65" t="str">
        <f t="shared" si="65"/>
        <v>  |</v>
      </c>
      <c r="AW105" s="65">
        <f aca="true" t="shared" si="78" ref="AW105:BO105">IF(AW145=1," S",IF(AW175=1,$T$8,IF(AW205=1,$S$8,IF(AW235=1,$R$8,""))))</f>
      </c>
      <c r="AX105" s="65">
        <f t="shared" si="78"/>
      </c>
      <c r="AY105" s="65">
        <f t="shared" si="78"/>
      </c>
      <c r="AZ105" s="65">
        <f t="shared" si="78"/>
      </c>
      <c r="BA105" s="65">
        <f t="shared" si="78"/>
      </c>
      <c r="BB105" s="65">
        <f t="shared" si="78"/>
      </c>
      <c r="BC105" s="65">
        <f t="shared" si="78"/>
      </c>
      <c r="BD105" s="65">
        <f t="shared" si="78"/>
      </c>
      <c r="BE105" s="65">
        <f t="shared" si="78"/>
      </c>
      <c r="BF105" s="65">
        <f t="shared" si="78"/>
      </c>
      <c r="BG105" s="65">
        <f t="shared" si="78"/>
      </c>
      <c r="BH105" s="65">
        <f t="shared" si="78"/>
      </c>
      <c r="BI105" s="65">
        <f t="shared" si="78"/>
      </c>
      <c r="BJ105" s="65">
        <f t="shared" si="78"/>
      </c>
      <c r="BK105" s="65">
        <f t="shared" si="78"/>
      </c>
      <c r="BL105" s="65">
        <f t="shared" si="78"/>
      </c>
      <c r="BM105" s="65">
        <f t="shared" si="78"/>
      </c>
      <c r="BN105" s="65">
        <f t="shared" si="78"/>
      </c>
      <c r="BO105" s="65">
        <f t="shared" si="78"/>
      </c>
      <c r="BP105" s="65" t="str">
        <f t="shared" si="67"/>
        <v>  |</v>
      </c>
      <c r="BQ105" s="55">
        <f>IF(R166&gt;=1.35,IF(R166&lt;1.45,1,0),0)</f>
        <v>0</v>
      </c>
      <c r="BS105" s="55">
        <f>IF(S150&gt;=1.35,IF(S150&lt;1.45,1,0),0)</f>
        <v>0</v>
      </c>
      <c r="BT105" s="55">
        <f>IF(R150&gt;=1.35,IF(R150&lt;1.45,1,0),0)</f>
        <v>0</v>
      </c>
      <c r="BU105" s="55">
        <f>IF(Q150&gt;=1.35,IF(Q150&lt;1.45,1,0),0)</f>
        <v>0</v>
      </c>
      <c r="BW105" s="28"/>
      <c r="BX105" s="26"/>
      <c r="BY105" s="73">
        <f>IF($Q$178&gt;=0.755,IF($Q$178&lt;0.815,1,0),0)</f>
        <v>0</v>
      </c>
      <c r="BZ105" s="73"/>
      <c r="CA105" s="73">
        <f>IF($R$178&gt;=0.755,IF($R$178&lt;0.815,1,0),0)</f>
        <v>0</v>
      </c>
      <c r="CB105" s="73"/>
      <c r="CC105" s="73">
        <f>IF($S$178&gt;=0.755,IF($S$178&lt;0.815,1,0),0)</f>
        <v>0</v>
      </c>
      <c r="CD105" s="26"/>
      <c r="CE105" s="101" t="s">
        <v>310</v>
      </c>
      <c r="CI105" s="55" t="s">
        <v>1</v>
      </c>
      <c r="DJ105" s="369" t="s">
        <v>803</v>
      </c>
      <c r="DK105" s="461" t="s">
        <v>804</v>
      </c>
      <c r="DL105" s="369" t="s">
        <v>778</v>
      </c>
      <c r="DM105" s="369" t="s">
        <v>788</v>
      </c>
      <c r="DN105" s="369" t="s">
        <v>789</v>
      </c>
      <c r="DO105" s="462" t="s">
        <v>790</v>
      </c>
      <c r="DQ105" s="58" t="s">
        <v>231</v>
      </c>
    </row>
    <row r="106" spans="2:136" ht="19.5" customHeight="1">
      <c r="B106" s="110" t="s">
        <v>444</v>
      </c>
      <c r="C106" s="66"/>
      <c r="D106" s="66"/>
      <c r="E106" s="357">
        <v>2</v>
      </c>
      <c r="F106" s="488">
        <v>5.7</v>
      </c>
      <c r="G106" s="488">
        <v>3.3</v>
      </c>
      <c r="H106" s="489">
        <v>276</v>
      </c>
      <c r="M106" s="58" t="s">
        <v>231</v>
      </c>
      <c r="N106" s="55" t="s">
        <v>1</v>
      </c>
      <c r="O106" s="55">
        <v>4</v>
      </c>
      <c r="Q106" s="53">
        <f>IF($J$12="",0,F108/1000)</f>
        <v>135.16</v>
      </c>
      <c r="R106" s="53">
        <f>IF($J$12="",0,G108/1000)</f>
        <v>100</v>
      </c>
      <c r="S106" s="49">
        <f aca="true" t="shared" si="79" ref="S106:S116">IF($J$12="",0,H108)</f>
        <v>261</v>
      </c>
      <c r="U106" s="55" t="s">
        <v>1</v>
      </c>
      <c r="W106" s="55" t="s">
        <v>1</v>
      </c>
      <c r="AB106" s="65" t="str">
        <f t="shared" si="63"/>
        <v>  |</v>
      </c>
      <c r="AC106" s="65">
        <f aca="true" t="shared" si="80" ref="AC106:AU106">IF(AC146=1," S",IF(AC176=1,$T$8,IF(AC206=1,$S$8,IF(AC236=1,$R$8,""))))</f>
      </c>
      <c r="AD106" s="65">
        <f t="shared" si="80"/>
      </c>
      <c r="AE106" s="65">
        <f t="shared" si="80"/>
      </c>
      <c r="AF106" s="65">
        <f t="shared" si="80"/>
      </c>
      <c r="AG106" s="65">
        <f t="shared" si="80"/>
      </c>
      <c r="AH106" s="65">
        <f t="shared" si="80"/>
      </c>
      <c r="AI106" s="65">
        <f t="shared" si="80"/>
      </c>
      <c r="AJ106" s="65">
        <f t="shared" si="80"/>
      </c>
      <c r="AK106" s="65">
        <f t="shared" si="80"/>
      </c>
      <c r="AL106" s="65">
        <f t="shared" si="80"/>
      </c>
      <c r="AM106" s="65">
        <f t="shared" si="80"/>
      </c>
      <c r="AN106" s="65">
        <f t="shared" si="80"/>
      </c>
      <c r="AO106" s="65">
        <f t="shared" si="80"/>
      </c>
      <c r="AP106" s="65">
        <f t="shared" si="80"/>
      </c>
      <c r="AQ106" s="65">
        <f t="shared" si="80"/>
      </c>
      <c r="AR106" s="65">
        <f t="shared" si="80"/>
      </c>
      <c r="AS106" s="65">
        <f t="shared" si="80"/>
      </c>
      <c r="AT106" s="65">
        <f t="shared" si="80"/>
      </c>
      <c r="AU106" s="65">
        <f t="shared" si="80"/>
      </c>
      <c r="AV106" s="65" t="str">
        <f t="shared" si="65"/>
        <v>  |</v>
      </c>
      <c r="AW106" s="65">
        <f aca="true" t="shared" si="81" ref="AW106:BO106">IF(AW146=1," S",IF(AW176=1,$T$8,IF(AW206=1,$S$8,IF(AW236=1,$R$8,""))))</f>
      </c>
      <c r="AX106" s="65">
        <f t="shared" si="81"/>
      </c>
      <c r="AY106" s="65">
        <f t="shared" si="81"/>
      </c>
      <c r="AZ106" s="65">
        <f t="shared" si="81"/>
      </c>
      <c r="BA106" s="65">
        <f t="shared" si="81"/>
      </c>
      <c r="BB106" s="65">
        <f t="shared" si="81"/>
      </c>
      <c r="BC106" s="65">
        <f t="shared" si="81"/>
      </c>
      <c r="BD106" s="65">
        <f t="shared" si="81"/>
      </c>
      <c r="BE106" s="65">
        <f t="shared" si="81"/>
      </c>
      <c r="BF106" s="65">
        <f t="shared" si="81"/>
      </c>
      <c r="BG106" s="65">
        <f t="shared" si="81"/>
      </c>
      <c r="BH106" s="65">
        <f t="shared" si="81"/>
      </c>
      <c r="BI106" s="65">
        <f t="shared" si="81"/>
      </c>
      <c r="BJ106" s="65">
        <f t="shared" si="81"/>
      </c>
      <c r="BK106" s="65">
        <f t="shared" si="81"/>
      </c>
      <c r="BL106" s="65">
        <f t="shared" si="81"/>
      </c>
      <c r="BM106" s="65">
        <f t="shared" si="81"/>
      </c>
      <c r="BN106" s="65">
        <f t="shared" si="81"/>
      </c>
      <c r="BO106" s="65">
        <f t="shared" si="81"/>
      </c>
      <c r="BP106" s="65" t="str">
        <f t="shared" si="67"/>
        <v>  |</v>
      </c>
      <c r="BQ106" s="55">
        <f>IF(R166&gt;=1.25,IF(R166&lt;1.35,1,0),0)</f>
        <v>0</v>
      </c>
      <c r="BS106" s="55">
        <f>IF(S150&gt;=1.25,IF(S150&lt;1.35,1,0),0)</f>
        <v>0</v>
      </c>
      <c r="BT106" s="55">
        <f>IF(R150&gt;=1.25,IF(R150&lt;1.35,1,0),0)</f>
        <v>0</v>
      </c>
      <c r="BU106" s="55">
        <f>IF(Q150&gt;=1.25,IF(Q150&lt;1.35,1,0),0)</f>
        <v>0</v>
      </c>
      <c r="BW106" s="28" t="s">
        <v>38</v>
      </c>
      <c r="BX106" s="26"/>
      <c r="BY106" s="73">
        <f>IF($Q$178&gt;=0.695,IF($Q$178&lt;0.755,1,0),0)</f>
        <v>0</v>
      </c>
      <c r="BZ106" s="73"/>
      <c r="CA106" s="73">
        <f>IF($R$178&gt;=0.695,IF($R$178&lt;0.755,1,0),0)</f>
        <v>0</v>
      </c>
      <c r="CB106" s="73"/>
      <c r="CC106" s="73">
        <f>IF($S$178&gt;=0.695,IF($S$178&lt;0.755,1,0),0)</f>
        <v>0</v>
      </c>
      <c r="CD106" s="26"/>
      <c r="CI106" s="55" t="s">
        <v>1</v>
      </c>
      <c r="DJ106" s="369" t="s">
        <v>805</v>
      </c>
      <c r="DK106" s="461" t="s">
        <v>806</v>
      </c>
      <c r="DL106" s="369" t="s">
        <v>807</v>
      </c>
      <c r="DM106" s="369" t="s">
        <v>808</v>
      </c>
      <c r="DN106" s="369" t="s">
        <v>809</v>
      </c>
      <c r="DO106" s="462" t="s">
        <v>810</v>
      </c>
      <c r="DQ106" s="58" t="s">
        <v>231</v>
      </c>
      <c r="EF106" s="3"/>
    </row>
    <row r="107" spans="2:136" ht="19.5" customHeight="1">
      <c r="B107" s="110" t="s">
        <v>235</v>
      </c>
      <c r="C107" s="115"/>
      <c r="D107" s="65"/>
      <c r="E107" s="357">
        <v>3</v>
      </c>
      <c r="F107" s="490">
        <v>28.9</v>
      </c>
      <c r="G107" s="490">
        <v>24.1</v>
      </c>
      <c r="H107" s="491">
        <v>275</v>
      </c>
      <c r="M107" s="58" t="s">
        <v>231</v>
      </c>
      <c r="N107" s="55" t="s">
        <v>1</v>
      </c>
      <c r="O107" s="55">
        <v>6</v>
      </c>
      <c r="Q107" s="2">
        <f aca="true" t="shared" si="82" ref="Q107:Q116">IF($J$12="",0,F109)</f>
        <v>69.9</v>
      </c>
      <c r="R107" s="2">
        <f aca="true" t="shared" si="83" ref="R107:R116">IF($J$12="",0,G109)</f>
        <v>68.6</v>
      </c>
      <c r="S107" s="49">
        <f t="shared" si="79"/>
        <v>262</v>
      </c>
      <c r="U107" s="55" t="s">
        <v>1</v>
      </c>
      <c r="W107" s="55" t="s">
        <v>1</v>
      </c>
      <c r="Z107" s="55" t="s">
        <v>271</v>
      </c>
      <c r="AB107" s="65" t="str">
        <f t="shared" si="63"/>
        <v>  |</v>
      </c>
      <c r="AC107" s="65">
        <f aca="true" t="shared" si="84" ref="AC107:AU107">IF(AC147=1," S",IF(AC177=1,$T$8,IF(AC207=1,$S$8,IF(AC237=1,$R$8,""))))</f>
      </c>
      <c r="AD107" s="65">
        <f t="shared" si="84"/>
      </c>
      <c r="AE107" s="65">
        <f t="shared" si="84"/>
      </c>
      <c r="AF107" s="65">
        <f t="shared" si="84"/>
      </c>
      <c r="AG107" s="65">
        <f t="shared" si="84"/>
      </c>
      <c r="AH107" s="65">
        <f t="shared" si="84"/>
      </c>
      <c r="AI107" s="65">
        <f t="shared" si="84"/>
      </c>
      <c r="AJ107" s="65">
        <f t="shared" si="84"/>
      </c>
      <c r="AK107" s="65">
        <f t="shared" si="84"/>
      </c>
      <c r="AL107" s="65">
        <f t="shared" si="84"/>
      </c>
      <c r="AM107" s="65">
        <f t="shared" si="84"/>
      </c>
      <c r="AN107" s="65">
        <f t="shared" si="84"/>
      </c>
      <c r="AO107" s="65">
        <f t="shared" si="84"/>
      </c>
      <c r="AP107" s="65">
        <f t="shared" si="84"/>
      </c>
      <c r="AQ107" s="65">
        <f t="shared" si="84"/>
      </c>
      <c r="AR107" s="65">
        <f t="shared" si="84"/>
      </c>
      <c r="AS107" s="65">
        <f t="shared" si="84"/>
      </c>
      <c r="AT107" s="65">
        <f t="shared" si="84"/>
      </c>
      <c r="AU107" s="65">
        <f t="shared" si="84"/>
      </c>
      <c r="AV107" s="65" t="str">
        <f t="shared" si="65"/>
        <v>  |</v>
      </c>
      <c r="AW107" s="65">
        <f aca="true" t="shared" si="85" ref="AW107:BO107">IF(AW147=1," S",IF(AW177=1,$T$8,IF(AW207=1,$S$8,IF(AW237=1,$R$8,""))))</f>
      </c>
      <c r="AX107" s="65">
        <f t="shared" si="85"/>
      </c>
      <c r="AY107" s="65">
        <f t="shared" si="85"/>
      </c>
      <c r="AZ107" s="65">
        <f t="shared" si="85"/>
      </c>
      <c r="BA107" s="65">
        <f t="shared" si="85"/>
      </c>
      <c r="BB107" s="65">
        <f t="shared" si="85"/>
      </c>
      <c r="BC107" s="65">
        <f t="shared" si="85"/>
      </c>
      <c r="BD107" s="65">
        <f t="shared" si="85"/>
      </c>
      <c r="BE107" s="65">
        <f t="shared" si="85"/>
      </c>
      <c r="BF107" s="65">
        <f t="shared" si="85"/>
      </c>
      <c r="BG107" s="65">
        <f t="shared" si="85"/>
      </c>
      <c r="BH107" s="65">
        <f t="shared" si="85"/>
      </c>
      <c r="BI107" s="65">
        <f t="shared" si="85"/>
      </c>
      <c r="BJ107" s="65">
        <f t="shared" si="85"/>
      </c>
      <c r="BK107" s="65">
        <f t="shared" si="85"/>
      </c>
      <c r="BL107" s="65">
        <f t="shared" si="85"/>
      </c>
      <c r="BM107" s="65">
        <f t="shared" si="85"/>
      </c>
      <c r="BN107" s="65">
        <f t="shared" si="85"/>
      </c>
      <c r="BO107" s="65">
        <f t="shared" si="85"/>
      </c>
      <c r="BP107" s="65" t="str">
        <f t="shared" si="67"/>
        <v>  |</v>
      </c>
      <c r="BQ107" s="55">
        <f>IF(R166&gt;=1.15,IF(R166&lt;1.25,1,0),0)</f>
        <v>0</v>
      </c>
      <c r="BS107" s="55">
        <f>IF(S150&gt;=1.15,IF(S150&lt;1.25,1,0),0)</f>
        <v>0</v>
      </c>
      <c r="BT107" s="55">
        <f>IF(R150&gt;=1.15,IF(R150&lt;1.25,1,0),0)</f>
        <v>0</v>
      </c>
      <c r="BU107" s="55">
        <f>IF(Q150&gt;=1.15,IF(Q150&lt;1.25,1,0),0)</f>
        <v>0</v>
      </c>
      <c r="BW107" s="28"/>
      <c r="BX107" s="26"/>
      <c r="BY107" s="73">
        <f>IF($Q$178&gt;=0.635,IF($Q$178&lt;0.695,1,0),0)</f>
        <v>0</v>
      </c>
      <c r="BZ107" s="73"/>
      <c r="CA107" s="73">
        <f>IF($R$178&gt;=0.635,IF($R$178&lt;0.695,1,0),0)</f>
        <v>0</v>
      </c>
      <c r="CB107" s="73"/>
      <c r="CC107" s="73">
        <f>IF($S$178&gt;=0.635,IF($S$178&lt;0.695,1,0),0)</f>
        <v>0</v>
      </c>
      <c r="CD107" s="26"/>
      <c r="CE107" s="101" t="s">
        <v>297</v>
      </c>
      <c r="CI107" s="55" t="s">
        <v>1</v>
      </c>
      <c r="DJ107" s="369" t="s">
        <v>811</v>
      </c>
      <c r="DK107" s="461" t="s">
        <v>812</v>
      </c>
      <c r="DL107" s="369" t="s">
        <v>807</v>
      </c>
      <c r="DM107" s="369" t="s">
        <v>813</v>
      </c>
      <c r="DN107" s="369" t="s">
        <v>814</v>
      </c>
      <c r="DO107" s="462" t="s">
        <v>815</v>
      </c>
      <c r="DQ107" s="58" t="s">
        <v>231</v>
      </c>
      <c r="EF107" s="3"/>
    </row>
    <row r="108" spans="2:136" ht="19.5" customHeight="1">
      <c r="B108" s="110" t="s">
        <v>336</v>
      </c>
      <c r="C108" s="115"/>
      <c r="D108" s="65"/>
      <c r="E108" s="357">
        <v>4</v>
      </c>
      <c r="F108" s="491">
        <v>135160</v>
      </c>
      <c r="G108" s="491">
        <v>100000</v>
      </c>
      <c r="H108" s="491">
        <v>261</v>
      </c>
      <c r="M108" s="58" t="s">
        <v>231</v>
      </c>
      <c r="N108" s="55" t="s">
        <v>1</v>
      </c>
      <c r="O108" s="55">
        <v>7</v>
      </c>
      <c r="Q108" s="2">
        <f t="shared" si="82"/>
        <v>18.2</v>
      </c>
      <c r="R108" s="2">
        <f t="shared" si="83"/>
        <v>12.9</v>
      </c>
      <c r="S108" s="49">
        <f t="shared" si="79"/>
        <v>256</v>
      </c>
      <c r="U108" s="55" t="s">
        <v>1</v>
      </c>
      <c r="W108" s="55" t="s">
        <v>1</v>
      </c>
      <c r="AB108" s="65" t="str">
        <f t="shared" si="63"/>
        <v>  |</v>
      </c>
      <c r="AC108" s="65">
        <f aca="true" t="shared" si="86" ref="AC108:AU108">IF(AC148=1," S",IF(AC178=1,$T$8,IF(AC208=1,$S$8,IF(AC238=1,$R$8,""))))</f>
      </c>
      <c r="AD108" s="65">
        <f t="shared" si="86"/>
      </c>
      <c r="AE108" s="65">
        <f t="shared" si="86"/>
      </c>
      <c r="AF108" s="65">
        <f t="shared" si="86"/>
      </c>
      <c r="AG108" s="65">
        <f t="shared" si="86"/>
      </c>
      <c r="AH108" s="65">
        <f t="shared" si="86"/>
      </c>
      <c r="AI108" s="65">
        <f t="shared" si="86"/>
      </c>
      <c r="AJ108" s="65">
        <f t="shared" si="86"/>
      </c>
      <c r="AK108" s="65">
        <f t="shared" si="86"/>
      </c>
      <c r="AL108" s="65">
        <f t="shared" si="86"/>
      </c>
      <c r="AM108" s="65">
        <f t="shared" si="86"/>
      </c>
      <c r="AN108" s="65">
        <f t="shared" si="86"/>
      </c>
      <c r="AO108" s="65">
        <f t="shared" si="86"/>
      </c>
      <c r="AP108" s="65">
        <f t="shared" si="86"/>
      </c>
      <c r="AQ108" s="65">
        <f t="shared" si="86"/>
      </c>
      <c r="AR108" s="65">
        <f t="shared" si="86"/>
      </c>
      <c r="AS108" s="65">
        <f t="shared" si="86"/>
      </c>
      <c r="AT108" s="65">
        <f t="shared" si="86"/>
      </c>
      <c r="AU108" s="65">
        <f t="shared" si="86"/>
      </c>
      <c r="AV108" s="65" t="str">
        <f t="shared" si="65"/>
        <v>  |</v>
      </c>
      <c r="AW108" s="65">
        <f aca="true" t="shared" si="87" ref="AW108:BO108">IF(AW148=1," S",IF(AW178=1,$T$8,IF(AW208=1,$S$8,IF(AW238=1,$R$8,""))))</f>
      </c>
      <c r="AX108" s="65">
        <f t="shared" si="87"/>
      </c>
      <c r="AY108" s="65">
        <f t="shared" si="87"/>
      </c>
      <c r="AZ108" s="65">
        <f t="shared" si="87"/>
      </c>
      <c r="BA108" s="65">
        <f t="shared" si="87"/>
      </c>
      <c r="BB108" s="65">
        <f t="shared" si="87"/>
      </c>
      <c r="BC108" s="65">
        <f t="shared" si="87"/>
      </c>
      <c r="BD108" s="65">
        <f t="shared" si="87"/>
      </c>
      <c r="BE108" s="65">
        <f t="shared" si="87"/>
      </c>
      <c r="BF108" s="65">
        <f t="shared" si="87"/>
      </c>
      <c r="BG108" s="65">
        <f t="shared" si="87"/>
      </c>
      <c r="BH108" s="65">
        <f t="shared" si="87"/>
      </c>
      <c r="BI108" s="65">
        <f t="shared" si="87"/>
      </c>
      <c r="BJ108" s="65">
        <f t="shared" si="87"/>
      </c>
      <c r="BK108" s="65">
        <f t="shared" si="87"/>
      </c>
      <c r="BL108" s="65">
        <f t="shared" si="87"/>
      </c>
      <c r="BM108" s="65">
        <f t="shared" si="87"/>
      </c>
      <c r="BN108" s="65">
        <f t="shared" si="87"/>
      </c>
      <c r="BO108" s="65">
        <f t="shared" si="87"/>
      </c>
      <c r="BP108" s="65" t="str">
        <f t="shared" si="67"/>
        <v>  |</v>
      </c>
      <c r="BQ108" s="55">
        <f>IF(R166&gt;=1.05,IF(R166&lt;1.15,1,0),0)</f>
        <v>0</v>
      </c>
      <c r="BS108" s="55">
        <f>IF(S150&gt;=1.05,IF(S150&lt;1.15,1,0),0)</f>
        <v>0</v>
      </c>
      <c r="BT108" s="55">
        <f>IF(R150&gt;=1.05,IF(R150&lt;1.15,1,0),0)</f>
        <v>0</v>
      </c>
      <c r="BU108" s="55">
        <f>IF(Q150&gt;=1.05,IF(Q150&lt;1.15,1,0),0)</f>
        <v>0</v>
      </c>
      <c r="BW108" s="76" t="s">
        <v>43</v>
      </c>
      <c r="BX108" s="60"/>
      <c r="BY108" s="73">
        <f>IF($Q$178&gt;=0.565,IF($Q$178&lt;0.635,1,0),0)</f>
        <v>0</v>
      </c>
      <c r="BZ108" s="73"/>
      <c r="CA108" s="73">
        <f>IF($R$178&gt;=0.565,IF($R$178&lt;0.635,1,0),0)</f>
        <v>0</v>
      </c>
      <c r="CB108" s="73"/>
      <c r="CC108" s="73">
        <f>IF($S$178&gt;=0.565,IF($S$178&lt;0.635,1,0),0)</f>
        <v>0</v>
      </c>
      <c r="CD108" s="60"/>
      <c r="CI108" s="55" t="s">
        <v>1</v>
      </c>
      <c r="DJ108" s="369" t="s">
        <v>816</v>
      </c>
      <c r="DK108" s="463" t="s">
        <v>817</v>
      </c>
      <c r="DL108" s="369" t="s">
        <v>807</v>
      </c>
      <c r="DM108" s="369" t="s">
        <v>813</v>
      </c>
      <c r="DN108" s="369" t="s">
        <v>814</v>
      </c>
      <c r="DO108" s="462" t="s">
        <v>815</v>
      </c>
      <c r="DQ108" s="58" t="s">
        <v>231</v>
      </c>
      <c r="EF108" s="3"/>
    </row>
    <row r="109" spans="2:121" ht="19.5" customHeight="1">
      <c r="B109" s="110" t="s">
        <v>236</v>
      </c>
      <c r="C109" s="115"/>
      <c r="D109" s="65"/>
      <c r="E109" s="357">
        <v>6</v>
      </c>
      <c r="F109" s="490">
        <v>69.9</v>
      </c>
      <c r="G109" s="490">
        <v>68.6</v>
      </c>
      <c r="H109" s="491">
        <v>262</v>
      </c>
      <c r="M109" s="58" t="s">
        <v>231</v>
      </c>
      <c r="N109" s="55" t="s">
        <v>1</v>
      </c>
      <c r="O109" s="55">
        <v>8</v>
      </c>
      <c r="Q109" s="2">
        <f t="shared" si="82"/>
        <v>2.7</v>
      </c>
      <c r="R109" s="2">
        <f t="shared" si="83"/>
        <v>1.1</v>
      </c>
      <c r="S109" s="49">
        <f t="shared" si="79"/>
        <v>246</v>
      </c>
      <c r="U109" s="55" t="s">
        <v>1</v>
      </c>
      <c r="W109" s="55" t="s">
        <v>1</v>
      </c>
      <c r="Z109" s="65" t="s">
        <v>272</v>
      </c>
      <c r="AA109" s="65"/>
      <c r="AB109" s="65" t="str">
        <f aca="true" t="shared" si="88" ref="AB109:BP109">IF(AB149=1," S",IF(AB179=1,$T$8,IF(AB209=1,$S$8,IF(AB239=1,$R$8,"--"))))</f>
        <v>--</v>
      </c>
      <c r="AC109" s="65" t="str">
        <f t="shared" si="88"/>
        <v>--</v>
      </c>
      <c r="AD109" s="65" t="str">
        <f t="shared" si="88"/>
        <v>--</v>
      </c>
      <c r="AE109" s="65" t="str">
        <f t="shared" si="88"/>
        <v>--</v>
      </c>
      <c r="AF109" s="65" t="str">
        <f t="shared" si="88"/>
        <v>--</v>
      </c>
      <c r="AG109" s="65" t="str">
        <f t="shared" si="88"/>
        <v>--</v>
      </c>
      <c r="AH109" s="65" t="str">
        <f t="shared" si="88"/>
        <v>--</v>
      </c>
      <c r="AI109" s="65" t="str">
        <f t="shared" si="88"/>
        <v>--</v>
      </c>
      <c r="AJ109" s="65" t="str">
        <f t="shared" si="88"/>
        <v>--</v>
      </c>
      <c r="AK109" s="65" t="str">
        <f t="shared" si="88"/>
        <v>--</v>
      </c>
      <c r="AL109" s="65" t="str">
        <f t="shared" si="88"/>
        <v>--</v>
      </c>
      <c r="AM109" s="65" t="str">
        <f t="shared" si="88"/>
        <v>--</v>
      </c>
      <c r="AN109" s="65" t="str">
        <f t="shared" si="88"/>
        <v>--</v>
      </c>
      <c r="AO109" s="65" t="str">
        <f t="shared" si="88"/>
        <v>--</v>
      </c>
      <c r="AP109" s="65" t="str">
        <f t="shared" si="88"/>
        <v>--</v>
      </c>
      <c r="AQ109" s="65" t="str">
        <f t="shared" si="88"/>
        <v>--</v>
      </c>
      <c r="AR109" s="65" t="str">
        <f t="shared" si="88"/>
        <v>--</v>
      </c>
      <c r="AS109" s="65" t="str">
        <f t="shared" si="88"/>
        <v>--</v>
      </c>
      <c r="AT109" s="65" t="str">
        <f t="shared" si="88"/>
        <v>--</v>
      </c>
      <c r="AU109" s="65" t="str">
        <f t="shared" si="88"/>
        <v>--</v>
      </c>
      <c r="AV109" s="65" t="str">
        <f t="shared" si="88"/>
        <v>--</v>
      </c>
      <c r="AW109" s="65" t="str">
        <f t="shared" si="88"/>
        <v>--</v>
      </c>
      <c r="AX109" s="65" t="str">
        <f t="shared" si="88"/>
        <v>--</v>
      </c>
      <c r="AY109" s="65" t="str">
        <f t="shared" si="88"/>
        <v>--</v>
      </c>
      <c r="AZ109" s="65" t="str">
        <f t="shared" si="88"/>
        <v>--</v>
      </c>
      <c r="BA109" s="65" t="str">
        <f t="shared" si="88"/>
        <v>--</v>
      </c>
      <c r="BB109" s="65" t="str">
        <f t="shared" si="88"/>
        <v>--</v>
      </c>
      <c r="BC109" s="65" t="str">
        <f t="shared" si="88"/>
        <v>--</v>
      </c>
      <c r="BD109" s="65" t="str">
        <f t="shared" si="88"/>
        <v>--</v>
      </c>
      <c r="BE109" s="65" t="str">
        <f t="shared" si="88"/>
        <v>--</v>
      </c>
      <c r="BF109" s="65" t="str">
        <f t="shared" si="88"/>
        <v>--</v>
      </c>
      <c r="BG109" s="65" t="str">
        <f t="shared" si="88"/>
        <v>--</v>
      </c>
      <c r="BH109" s="65" t="str">
        <f t="shared" si="88"/>
        <v>--</v>
      </c>
      <c r="BI109" s="65" t="str">
        <f t="shared" si="88"/>
        <v>--</v>
      </c>
      <c r="BJ109" s="65" t="str">
        <f t="shared" si="88"/>
        <v>--</v>
      </c>
      <c r="BK109" s="65" t="str">
        <f t="shared" si="88"/>
        <v>--</v>
      </c>
      <c r="BL109" s="65" t="str">
        <f t="shared" si="88"/>
        <v>--</v>
      </c>
      <c r="BM109" s="65" t="str">
        <f t="shared" si="88"/>
        <v>--</v>
      </c>
      <c r="BN109" s="65" t="str">
        <f t="shared" si="88"/>
        <v>--</v>
      </c>
      <c r="BO109" s="65" t="str">
        <f t="shared" si="88"/>
        <v>--</v>
      </c>
      <c r="BP109" s="65" t="str">
        <f t="shared" si="88"/>
        <v>--</v>
      </c>
      <c r="BQ109" s="55">
        <f>IF(R166&gt;=0.95,IF(R166&lt;1.05,1,0),0)</f>
        <v>0</v>
      </c>
      <c r="BS109" s="55">
        <f>IF(S150&gt;=0.95,IF(S150&lt;1.05,1,0),0)</f>
        <v>0</v>
      </c>
      <c r="BT109" s="55">
        <f>IF(R150&gt;=0.95,IF(R150&lt;1.05,1,0),0)</f>
        <v>0</v>
      </c>
      <c r="BU109" s="55">
        <f>IF(Q150&gt;=0.95,IF(Q150&lt;1.05,1,0),0)</f>
        <v>0</v>
      </c>
      <c r="BW109" s="28"/>
      <c r="BX109" s="26"/>
      <c r="BY109" s="73">
        <f>IF($Q$178&gt;=0.495,IF($Q$178&lt;0.565,1,0),0)</f>
        <v>0</v>
      </c>
      <c r="BZ109" s="73"/>
      <c r="CA109" s="73">
        <f>IF($R$178&gt;=0.495,IF($R$178&lt;0.565,1,0),0)</f>
        <v>0</v>
      </c>
      <c r="CB109" s="73"/>
      <c r="CC109" s="73">
        <f>IF($S$178&gt;=0.495,IF($S$178&lt;0.565,1,0),0)</f>
        <v>0</v>
      </c>
      <c r="CD109" s="26"/>
      <c r="CE109" s="101" t="s">
        <v>298</v>
      </c>
      <c r="CI109" s="55" t="s">
        <v>1</v>
      </c>
      <c r="DJ109" s="369" t="s">
        <v>818</v>
      </c>
      <c r="DK109" s="461" t="s">
        <v>819</v>
      </c>
      <c r="DL109" s="369" t="s">
        <v>807</v>
      </c>
      <c r="DM109" s="369" t="s">
        <v>813</v>
      </c>
      <c r="DN109" s="369" t="s">
        <v>814</v>
      </c>
      <c r="DO109" s="462" t="s">
        <v>815</v>
      </c>
      <c r="DQ109" s="58" t="s">
        <v>231</v>
      </c>
    </row>
    <row r="110" spans="2:136" ht="19.5" customHeight="1">
      <c r="B110" s="110" t="s">
        <v>445</v>
      </c>
      <c r="C110" s="66"/>
      <c r="D110" s="66"/>
      <c r="E110" s="358">
        <v>7</v>
      </c>
      <c r="F110" s="488">
        <v>18.2</v>
      </c>
      <c r="G110" s="488">
        <v>12.9</v>
      </c>
      <c r="H110" s="489">
        <v>256</v>
      </c>
      <c r="M110" s="58" t="s">
        <v>231</v>
      </c>
      <c r="N110" s="55" t="s">
        <v>1</v>
      </c>
      <c r="O110" s="55">
        <v>9</v>
      </c>
      <c r="Q110" s="2">
        <f t="shared" si="82"/>
        <v>0.4</v>
      </c>
      <c r="R110" s="2">
        <f t="shared" si="83"/>
        <v>7.3</v>
      </c>
      <c r="S110" s="49">
        <f t="shared" si="79"/>
        <v>275</v>
      </c>
      <c r="U110" s="55" t="s">
        <v>1</v>
      </c>
      <c r="W110" s="55" t="s">
        <v>1</v>
      </c>
      <c r="AB110" s="65" t="str">
        <f aca="true" t="shared" si="89" ref="AB110:AB118">IF(AB150=1," S",IF(AB180=1,$T$8,IF(AB210=1,$S$8,IF(AB240=1,$R$8,"  |"))))</f>
        <v>  |</v>
      </c>
      <c r="AC110" s="65">
        <f aca="true" t="shared" si="90" ref="AC110:AU110">IF(AC150=1," S",IF(AC180=1,$T$8,IF(AC210=1,$S$8,IF(AC240=1,$R$8,""))))</f>
      </c>
      <c r="AD110" s="65">
        <f t="shared" si="90"/>
      </c>
      <c r="AE110" s="65">
        <f t="shared" si="90"/>
      </c>
      <c r="AF110" s="65">
        <f t="shared" si="90"/>
      </c>
      <c r="AG110" s="65">
        <f t="shared" si="90"/>
      </c>
      <c r="AH110" s="65">
        <f t="shared" si="90"/>
      </c>
      <c r="AI110" s="65">
        <f t="shared" si="90"/>
      </c>
      <c r="AJ110" s="65">
        <f t="shared" si="90"/>
      </c>
      <c r="AK110" s="65">
        <f t="shared" si="90"/>
      </c>
      <c r="AL110" s="65">
        <f t="shared" si="90"/>
      </c>
      <c r="AM110" s="65">
        <f t="shared" si="90"/>
      </c>
      <c r="AN110" s="65">
        <f t="shared" si="90"/>
      </c>
      <c r="AO110" s="65">
        <f t="shared" si="90"/>
      </c>
      <c r="AP110" s="65">
        <f t="shared" si="90"/>
      </c>
      <c r="AQ110" s="65">
        <f t="shared" si="90"/>
      </c>
      <c r="AR110" s="65">
        <f t="shared" si="90"/>
      </c>
      <c r="AS110" s="65">
        <f t="shared" si="90"/>
      </c>
      <c r="AT110" s="65">
        <f t="shared" si="90"/>
      </c>
      <c r="AU110" s="65">
        <f t="shared" si="90"/>
      </c>
      <c r="AV110" s="65" t="str">
        <f aca="true" t="shared" si="91" ref="AV110:AV118">IF(AV150=1," S",IF(AV180=1,$T$8,IF(AV210=1,$S$8,IF(AV240=1,$R$8,"  |"))))</f>
        <v>  |</v>
      </c>
      <c r="AW110" s="65">
        <f aca="true" t="shared" si="92" ref="AW110:BO110">IF(AW150=1," S",IF(AW180=1,$T$8,IF(AW210=1,$S$8,IF(AW240=1,$R$8,""))))</f>
      </c>
      <c r="AX110" s="65">
        <f t="shared" si="92"/>
      </c>
      <c r="AY110" s="65">
        <f t="shared" si="92"/>
      </c>
      <c r="AZ110" s="65">
        <f t="shared" si="92"/>
      </c>
      <c r="BA110" s="65">
        <f t="shared" si="92"/>
      </c>
      <c r="BB110" s="65">
        <f t="shared" si="92"/>
      </c>
      <c r="BC110" s="65">
        <f t="shared" si="92"/>
      </c>
      <c r="BD110" s="65">
        <f t="shared" si="92"/>
      </c>
      <c r="BE110" s="65">
        <f t="shared" si="92"/>
      </c>
      <c r="BF110" s="65">
        <f t="shared" si="92"/>
      </c>
      <c r="BG110" s="65">
        <f t="shared" si="92"/>
      </c>
      <c r="BH110" s="65">
        <f t="shared" si="92"/>
      </c>
      <c r="BI110" s="65">
        <f t="shared" si="92"/>
      </c>
      <c r="BJ110" s="65">
        <f t="shared" si="92"/>
      </c>
      <c r="BK110" s="65">
        <f t="shared" si="92"/>
      </c>
      <c r="BL110" s="65">
        <f t="shared" si="92"/>
      </c>
      <c r="BM110" s="65">
        <f t="shared" si="92"/>
      </c>
      <c r="BN110" s="65">
        <f t="shared" si="92"/>
      </c>
      <c r="BO110" s="65">
        <f t="shared" si="92"/>
      </c>
      <c r="BP110" s="65" t="str">
        <f aca="true" t="shared" si="93" ref="BP110:BP118">IF(BP150=1," S",IF(BP180=1,$T$8,IF(BP210=1,$S$8,IF(BP240=1,$R$8,"  |"))))</f>
        <v>  |</v>
      </c>
      <c r="BQ110" s="55">
        <f>IF(R166&gt;=0.85,IF(R166&lt;0.95,1,0),0)</f>
        <v>0</v>
      </c>
      <c r="BS110" s="55">
        <f>IF(S150&gt;=0.85,IF(S150&lt;0.95,1,0),0)</f>
        <v>0</v>
      </c>
      <c r="BT110" s="55">
        <f>IF(R150&gt;=0.85,IF(R150&lt;0.95,1,0),0)</f>
        <v>0</v>
      </c>
      <c r="BU110" s="55">
        <f>IF(Q150&gt;=0.85,IF(Q150&lt;0.95,1,0),0)</f>
        <v>0</v>
      </c>
      <c r="BW110" s="28" t="s">
        <v>51</v>
      </c>
      <c r="BX110" s="26"/>
      <c r="BY110" s="73">
        <f>IF($Q$178&gt;=0.425,IF($Q$178&lt;0.495,1,0),0)</f>
        <v>0</v>
      </c>
      <c r="BZ110" s="73"/>
      <c r="CA110" s="73">
        <f>IF($R$178&gt;=0.425,IF($R$178&lt;0.495,1,0),0)</f>
        <v>0</v>
      </c>
      <c r="CB110" s="73"/>
      <c r="CC110" s="73">
        <f>IF($S$178&gt;=0.425,IF($S$178&lt;0.495,1,0),0)</f>
        <v>0</v>
      </c>
      <c r="CD110" s="26"/>
      <c r="CI110" s="55" t="s">
        <v>1</v>
      </c>
      <c r="DJ110" s="369" t="s">
        <v>820</v>
      </c>
      <c r="DK110" s="461" t="s">
        <v>821</v>
      </c>
      <c r="DL110" s="369" t="s">
        <v>807</v>
      </c>
      <c r="DM110" s="369" t="s">
        <v>813</v>
      </c>
      <c r="DN110" s="369" t="s">
        <v>814</v>
      </c>
      <c r="DO110" s="462" t="s">
        <v>815</v>
      </c>
      <c r="DQ110" s="58" t="s">
        <v>231</v>
      </c>
      <c r="EF110" s="3"/>
    </row>
    <row r="111" spans="2:136" ht="19.5" customHeight="1">
      <c r="B111" s="110" t="s">
        <v>237</v>
      </c>
      <c r="C111" s="115"/>
      <c r="D111" s="65"/>
      <c r="E111" s="357">
        <v>8</v>
      </c>
      <c r="F111" s="490">
        <v>2.7</v>
      </c>
      <c r="G111" s="490">
        <v>1.1</v>
      </c>
      <c r="H111" s="491">
        <v>246</v>
      </c>
      <c r="M111" s="58" t="s">
        <v>231</v>
      </c>
      <c r="N111" s="55" t="s">
        <v>1</v>
      </c>
      <c r="O111" s="55">
        <v>10</v>
      </c>
      <c r="Q111" s="2">
        <f t="shared" si="82"/>
        <v>21.1</v>
      </c>
      <c r="R111" s="2">
        <f t="shared" si="83"/>
        <v>17.7</v>
      </c>
      <c r="S111" s="49">
        <f t="shared" si="79"/>
        <v>276</v>
      </c>
      <c r="U111" s="55" t="s">
        <v>1</v>
      </c>
      <c r="W111" s="55" t="s">
        <v>1</v>
      </c>
      <c r="Z111" s="55" t="s">
        <v>273</v>
      </c>
      <c r="AB111" s="65" t="str">
        <f t="shared" si="89"/>
        <v>  |</v>
      </c>
      <c r="AC111" s="65">
        <f aca="true" t="shared" si="94" ref="AC111:AU111">IF(AC151=1," S",IF(AC181=1,$T$8,IF(AC211=1,$S$8,IF(AC241=1,$R$8,""))))</f>
      </c>
      <c r="AD111" s="65">
        <f t="shared" si="94"/>
      </c>
      <c r="AE111" s="65">
        <f t="shared" si="94"/>
      </c>
      <c r="AF111" s="65">
        <f t="shared" si="94"/>
      </c>
      <c r="AG111" s="65">
        <f t="shared" si="94"/>
      </c>
      <c r="AH111" s="65">
        <f t="shared" si="94"/>
      </c>
      <c r="AI111" s="65">
        <f t="shared" si="94"/>
      </c>
      <c r="AJ111" s="65">
        <f t="shared" si="94"/>
      </c>
      <c r="AK111" s="65">
        <f t="shared" si="94"/>
      </c>
      <c r="AL111" s="65">
        <f t="shared" si="94"/>
      </c>
      <c r="AM111" s="65">
        <f t="shared" si="94"/>
      </c>
      <c r="AN111" s="65">
        <f t="shared" si="94"/>
      </c>
      <c r="AO111" s="65">
        <f t="shared" si="94"/>
      </c>
      <c r="AP111" s="65">
        <f t="shared" si="94"/>
      </c>
      <c r="AQ111" s="65">
        <f t="shared" si="94"/>
      </c>
      <c r="AR111" s="65">
        <f t="shared" si="94"/>
      </c>
      <c r="AS111" s="65">
        <f t="shared" si="94"/>
      </c>
      <c r="AT111" s="65">
        <f t="shared" si="94"/>
      </c>
      <c r="AU111" s="65">
        <f t="shared" si="94"/>
      </c>
      <c r="AV111" s="65" t="str">
        <f t="shared" si="91"/>
        <v>  |</v>
      </c>
      <c r="AW111" s="65">
        <f aca="true" t="shared" si="95" ref="AW111:BO111">IF(AW151=1," S",IF(AW181=1,$T$8,IF(AW211=1,$S$8,IF(AW241=1,$R$8,""))))</f>
      </c>
      <c r="AX111" s="65">
        <f t="shared" si="95"/>
      </c>
      <c r="AY111" s="65">
        <f t="shared" si="95"/>
      </c>
      <c r="AZ111" s="65">
        <f t="shared" si="95"/>
      </c>
      <c r="BA111" s="65">
        <f t="shared" si="95"/>
      </c>
      <c r="BB111" s="65">
        <f t="shared" si="95"/>
      </c>
      <c r="BC111" s="65">
        <f t="shared" si="95"/>
      </c>
      <c r="BD111" s="65">
        <f t="shared" si="95"/>
      </c>
      <c r="BE111" s="65">
        <f t="shared" si="95"/>
      </c>
      <c r="BF111" s="65">
        <f t="shared" si="95"/>
      </c>
      <c r="BG111" s="65">
        <f t="shared" si="95"/>
      </c>
      <c r="BH111" s="65">
        <f t="shared" si="95"/>
      </c>
      <c r="BI111" s="65">
        <f t="shared" si="95"/>
      </c>
      <c r="BJ111" s="65">
        <f t="shared" si="95"/>
      </c>
      <c r="BK111" s="65">
        <f t="shared" si="95"/>
      </c>
      <c r="BL111" s="65">
        <f t="shared" si="95"/>
      </c>
      <c r="BM111" s="65">
        <f t="shared" si="95"/>
      </c>
      <c r="BN111" s="65">
        <f t="shared" si="95"/>
      </c>
      <c r="BO111" s="65">
        <f t="shared" si="95"/>
      </c>
      <c r="BP111" s="65" t="str">
        <f t="shared" si="93"/>
        <v>  |</v>
      </c>
      <c r="BQ111" s="55">
        <f>IF(R166&gt;=0.75,IF(R166&lt;0.85,1,0),0)</f>
        <v>0</v>
      </c>
      <c r="BS111" s="55">
        <f>IF(S150&gt;=0.75,IF(S150&lt;0.85,1,0),0)</f>
        <v>0</v>
      </c>
      <c r="BT111" s="55">
        <f>IF(R150&gt;=0.75,IF(R150&lt;0.85,1,0),0)</f>
        <v>0</v>
      </c>
      <c r="BU111" s="55">
        <f>IF(Q150&gt;=0.75,IF(Q150&lt;0.85,1,0),0)</f>
        <v>0</v>
      </c>
      <c r="BW111" s="28"/>
      <c r="BX111" s="26"/>
      <c r="BY111" s="73">
        <f>IF($Q$178&gt;=0.345,IF($Q$178&lt;0.425,1,0),0)</f>
        <v>0</v>
      </c>
      <c r="BZ111" s="73"/>
      <c r="CA111" s="73">
        <f>IF($R$178&gt;=0.345,IF($R$178&lt;0.425,1,0),0)</f>
        <v>0</v>
      </c>
      <c r="CB111" s="73"/>
      <c r="CC111" s="73">
        <f>IF($S$178&gt;=0.345,IF($S$178&lt;0.425,1,0),0)</f>
        <v>0</v>
      </c>
      <c r="CD111" s="26"/>
      <c r="CE111" s="101" t="s">
        <v>311</v>
      </c>
      <c r="CI111" s="55" t="s">
        <v>1</v>
      </c>
      <c r="DJ111" s="369" t="s">
        <v>822</v>
      </c>
      <c r="DK111" s="461" t="s">
        <v>823</v>
      </c>
      <c r="DL111" s="369" t="s">
        <v>807</v>
      </c>
      <c r="DM111" s="369" t="s">
        <v>813</v>
      </c>
      <c r="DN111" s="369" t="s">
        <v>814</v>
      </c>
      <c r="DO111" s="462" t="s">
        <v>815</v>
      </c>
      <c r="DQ111" s="58" t="s">
        <v>231</v>
      </c>
      <c r="EF111" s="3"/>
    </row>
    <row r="112" spans="2:121" ht="19.5" customHeight="1">
      <c r="B112" s="110" t="s">
        <v>480</v>
      </c>
      <c r="C112" s="115"/>
      <c r="D112" s="65"/>
      <c r="E112" s="357">
        <v>9</v>
      </c>
      <c r="F112" s="490">
        <v>0.4</v>
      </c>
      <c r="G112" s="490">
        <v>7.3</v>
      </c>
      <c r="H112" s="491">
        <v>275</v>
      </c>
      <c r="M112" s="58" t="s">
        <v>231</v>
      </c>
      <c r="N112" s="55" t="s">
        <v>1</v>
      </c>
      <c r="O112" s="55">
        <v>12</v>
      </c>
      <c r="Q112" s="2">
        <f t="shared" si="82"/>
        <v>4.6</v>
      </c>
      <c r="R112" s="2">
        <f t="shared" si="83"/>
        <v>5</v>
      </c>
      <c r="S112" s="49">
        <f t="shared" si="79"/>
        <v>284</v>
      </c>
      <c r="U112" s="55" t="s">
        <v>1</v>
      </c>
      <c r="W112" s="55" t="s">
        <v>1</v>
      </c>
      <c r="AB112" s="65" t="str">
        <f t="shared" si="89"/>
        <v>  |</v>
      </c>
      <c r="AC112" s="65">
        <f aca="true" t="shared" si="96" ref="AC112:AU112">IF(AC152=1," S",IF(AC182=1,$T$8,IF(AC212=1,$S$8,IF(AC242=1,$R$8,""))))</f>
      </c>
      <c r="AD112" s="65">
        <f t="shared" si="96"/>
      </c>
      <c r="AE112" s="65">
        <f t="shared" si="96"/>
      </c>
      <c r="AF112" s="65">
        <f t="shared" si="96"/>
      </c>
      <c r="AG112" s="65">
        <f t="shared" si="96"/>
      </c>
      <c r="AH112" s="65">
        <f t="shared" si="96"/>
      </c>
      <c r="AI112" s="65">
        <f t="shared" si="96"/>
      </c>
      <c r="AJ112" s="65">
        <f t="shared" si="96"/>
      </c>
      <c r="AK112" s="65">
        <f t="shared" si="96"/>
      </c>
      <c r="AL112" s="65">
        <f t="shared" si="96"/>
      </c>
      <c r="AM112" s="65">
        <f t="shared" si="96"/>
      </c>
      <c r="AN112" s="65">
        <f t="shared" si="96"/>
      </c>
      <c r="AO112" s="65">
        <f t="shared" si="96"/>
      </c>
      <c r="AP112" s="65">
        <f t="shared" si="96"/>
      </c>
      <c r="AQ112" s="65">
        <f t="shared" si="96"/>
      </c>
      <c r="AR112" s="65">
        <f t="shared" si="96"/>
      </c>
      <c r="AS112" s="65">
        <f t="shared" si="96"/>
      </c>
      <c r="AT112" s="65">
        <f t="shared" si="96"/>
      </c>
      <c r="AU112" s="65">
        <f t="shared" si="96"/>
      </c>
      <c r="AV112" s="65" t="str">
        <f t="shared" si="91"/>
        <v>  |</v>
      </c>
      <c r="AW112" s="65">
        <f aca="true" t="shared" si="97" ref="AW112:BO112">IF(AW152=1," S",IF(AW182=1,$T$8,IF(AW212=1,$S$8,IF(AW242=1,$R$8,""))))</f>
      </c>
      <c r="AX112" s="65">
        <f t="shared" si="97"/>
      </c>
      <c r="AY112" s="65">
        <f t="shared" si="97"/>
      </c>
      <c r="AZ112" s="65">
        <f t="shared" si="97"/>
      </c>
      <c r="BA112" s="65">
        <f t="shared" si="97"/>
      </c>
      <c r="BB112" s="65">
        <f t="shared" si="97"/>
      </c>
      <c r="BC112" s="65">
        <f t="shared" si="97"/>
      </c>
      <c r="BD112" s="65">
        <f t="shared" si="97"/>
      </c>
      <c r="BE112" s="65">
        <f t="shared" si="97"/>
      </c>
      <c r="BF112" s="65">
        <f t="shared" si="97"/>
      </c>
      <c r="BG112" s="65">
        <f t="shared" si="97"/>
      </c>
      <c r="BH112" s="65">
        <f t="shared" si="97"/>
      </c>
      <c r="BI112" s="65">
        <f t="shared" si="97"/>
      </c>
      <c r="BJ112" s="65">
        <f t="shared" si="97"/>
      </c>
      <c r="BK112" s="65">
        <f t="shared" si="97"/>
      </c>
      <c r="BL112" s="65">
        <f t="shared" si="97"/>
      </c>
      <c r="BM112" s="65">
        <f t="shared" si="97"/>
      </c>
      <c r="BN112" s="65">
        <f t="shared" si="97"/>
      </c>
      <c r="BO112" s="65">
        <f t="shared" si="97"/>
      </c>
      <c r="BP112" s="65" t="str">
        <f t="shared" si="93"/>
        <v>  |</v>
      </c>
      <c r="BQ112" s="55">
        <f>IF(R166&gt;=0.65,IF(R166&lt;0.75,1,0),0)</f>
        <v>0</v>
      </c>
      <c r="BS112" s="55">
        <f>IF(S150&gt;=0.65,IF(S150&lt;0.75,1,0),0)</f>
        <v>0</v>
      </c>
      <c r="BT112" s="55">
        <f>IF(R150&gt;=0.65,IF(R150&lt;0.75,1,0),0)</f>
        <v>0</v>
      </c>
      <c r="BU112" s="55">
        <f>IF(Q150&gt;=0.65,IF(Q150&lt;0.75,1,0),0)</f>
        <v>0</v>
      </c>
      <c r="BW112" s="28" t="s">
        <v>58</v>
      </c>
      <c r="BX112" s="26"/>
      <c r="BY112" s="73">
        <f>IF($Q$178&gt;=0.305,IF($Q$178&lt;0.345,1,0),0)</f>
        <v>0</v>
      </c>
      <c r="BZ112" s="73"/>
      <c r="CA112" s="73">
        <f>IF($R$178&gt;=0.305,IF($R$178&lt;0.345,1,0),0)</f>
        <v>0</v>
      </c>
      <c r="CB112" s="73"/>
      <c r="CC112" s="73">
        <f>IF($S$178&gt;=0.305,IF($S$178&lt;0.345,1,0),0)</f>
        <v>0</v>
      </c>
      <c r="CD112" s="26"/>
      <c r="CI112" s="55" t="s">
        <v>1</v>
      </c>
      <c r="DJ112" s="369" t="s">
        <v>824</v>
      </c>
      <c r="DK112" s="461" t="s">
        <v>825</v>
      </c>
      <c r="DL112" s="369" t="s">
        <v>807</v>
      </c>
      <c r="DM112" s="369" t="s">
        <v>813</v>
      </c>
      <c r="DN112" s="369" t="s">
        <v>814</v>
      </c>
      <c r="DO112" s="462" t="s">
        <v>815</v>
      </c>
      <c r="DQ112" s="58" t="s">
        <v>231</v>
      </c>
    </row>
    <row r="113" spans="2:121" ht="19.5" customHeight="1">
      <c r="B113" s="110" t="s">
        <v>238</v>
      </c>
      <c r="C113" s="115"/>
      <c r="D113" s="65"/>
      <c r="E113" s="357">
        <v>10</v>
      </c>
      <c r="F113" s="490">
        <v>21.1</v>
      </c>
      <c r="G113" s="490">
        <v>17.7</v>
      </c>
      <c r="H113" s="491">
        <v>276</v>
      </c>
      <c r="M113" s="58" t="s">
        <v>231</v>
      </c>
      <c r="N113" s="55" t="s">
        <v>1</v>
      </c>
      <c r="O113" s="55">
        <v>13</v>
      </c>
      <c r="Q113" s="52">
        <f t="shared" si="82"/>
        <v>2.98</v>
      </c>
      <c r="R113" s="52">
        <f t="shared" si="83"/>
        <v>1.54</v>
      </c>
      <c r="S113" s="49">
        <f t="shared" si="79"/>
        <v>280</v>
      </c>
      <c r="U113" s="55" t="s">
        <v>1</v>
      </c>
      <c r="W113" s="55" t="s">
        <v>1</v>
      </c>
      <c r="Z113" s="55" t="s">
        <v>274</v>
      </c>
      <c r="AB113" s="65" t="str">
        <f t="shared" si="89"/>
        <v>  |</v>
      </c>
      <c r="AC113" s="65">
        <f aca="true" t="shared" si="98" ref="AC113:AU113">IF(AC153=1," S",IF(AC183=1,$T$8,IF(AC213=1,$S$8,IF(AC243=1,$R$8,""))))</f>
      </c>
      <c r="AD113" s="65">
        <f t="shared" si="98"/>
      </c>
      <c r="AE113" s="65">
        <f t="shared" si="98"/>
      </c>
      <c r="AF113" s="65">
        <f t="shared" si="98"/>
      </c>
      <c r="AG113" s="65">
        <f t="shared" si="98"/>
      </c>
      <c r="AH113" s="65">
        <f t="shared" si="98"/>
      </c>
      <c r="AI113" s="65">
        <f t="shared" si="98"/>
      </c>
      <c r="AJ113" s="65">
        <f t="shared" si="98"/>
      </c>
      <c r="AK113" s="65">
        <f t="shared" si="98"/>
      </c>
      <c r="AL113" s="65">
        <f t="shared" si="98"/>
      </c>
      <c r="AM113" s="65">
        <f t="shared" si="98"/>
      </c>
      <c r="AN113" s="65">
        <f t="shared" si="98"/>
      </c>
      <c r="AO113" s="65">
        <f t="shared" si="98"/>
      </c>
      <c r="AP113" s="65">
        <f t="shared" si="98"/>
      </c>
      <c r="AQ113" s="65">
        <f t="shared" si="98"/>
      </c>
      <c r="AR113" s="65">
        <f t="shared" si="98"/>
      </c>
      <c r="AS113" s="65">
        <f t="shared" si="98"/>
      </c>
      <c r="AT113" s="65">
        <f t="shared" si="98"/>
      </c>
      <c r="AU113" s="65">
        <f t="shared" si="98"/>
      </c>
      <c r="AV113" s="65" t="str">
        <f t="shared" si="91"/>
        <v>  |</v>
      </c>
      <c r="AW113" s="65">
        <f aca="true" t="shared" si="99" ref="AW113:BO113">IF(AW153=1," S",IF(AW183=1,$T$8,IF(AW213=1,$S$8,IF(AW243=1,$R$8,""))))</f>
      </c>
      <c r="AX113" s="65">
        <f t="shared" si="99"/>
      </c>
      <c r="AY113" s="65">
        <f t="shared" si="99"/>
      </c>
      <c r="AZ113" s="65">
        <f t="shared" si="99"/>
      </c>
      <c r="BA113" s="65">
        <f t="shared" si="99"/>
      </c>
      <c r="BB113" s="65">
        <f t="shared" si="99"/>
      </c>
      <c r="BC113" s="65">
        <f t="shared" si="99"/>
      </c>
      <c r="BD113" s="65">
        <f t="shared" si="99"/>
      </c>
      <c r="BE113" s="65">
        <f t="shared" si="99"/>
      </c>
      <c r="BF113" s="65">
        <f t="shared" si="99"/>
      </c>
      <c r="BG113" s="65">
        <f t="shared" si="99"/>
      </c>
      <c r="BH113" s="65">
        <f t="shared" si="99"/>
      </c>
      <c r="BI113" s="65">
        <f t="shared" si="99"/>
      </c>
      <c r="BJ113" s="65">
        <f t="shared" si="99"/>
      </c>
      <c r="BK113" s="65">
        <f t="shared" si="99"/>
      </c>
      <c r="BL113" s="65">
        <f t="shared" si="99"/>
      </c>
      <c r="BM113" s="65">
        <f t="shared" si="99"/>
      </c>
      <c r="BN113" s="65">
        <f t="shared" si="99"/>
      </c>
      <c r="BO113" s="65">
        <f t="shared" si="99"/>
      </c>
      <c r="BP113" s="65" t="str">
        <f t="shared" si="93"/>
        <v>  |</v>
      </c>
      <c r="BQ113" s="55">
        <f>IF(R166&gt;=0.55,IF(R166&lt;0.65,1,0),0)</f>
        <v>0</v>
      </c>
      <c r="BS113" s="55">
        <f>IF(S150&gt;=0.55,IF(S150&lt;0.65,1,0),0)</f>
        <v>0</v>
      </c>
      <c r="BT113" s="55">
        <f>IF(R150&gt;=0.55,IF(R150&lt;0.65,1,0),0)</f>
        <v>0</v>
      </c>
      <c r="BU113" s="55">
        <f>IF(Q150&gt;=0.55,IF(Q150&lt;0.65,1,0),0)</f>
        <v>0</v>
      </c>
      <c r="BW113" s="28"/>
      <c r="BX113" s="26"/>
      <c r="BY113" s="73">
        <f>IF($Q$178&gt;=0.265,IF($Q$178&lt;0.305,1,0),0)</f>
        <v>0</v>
      </c>
      <c r="BZ113" s="73"/>
      <c r="CA113" s="73">
        <f>IF($R$178&gt;=0.265,IF($R$178&lt;0.305,1,0),0)</f>
        <v>0</v>
      </c>
      <c r="CB113" s="73"/>
      <c r="CC113" s="73">
        <f>IF($S$178&gt;=0.265,IF($S$178&lt;0.305,1,0),0)</f>
        <v>0</v>
      </c>
      <c r="CD113" s="26"/>
      <c r="CE113" s="101" t="s">
        <v>299</v>
      </c>
      <c r="CI113" s="55" t="s">
        <v>1</v>
      </c>
      <c r="DJ113" s="369" t="s">
        <v>826</v>
      </c>
      <c r="DK113" s="461" t="s">
        <v>827</v>
      </c>
      <c r="DL113" s="369" t="s">
        <v>807</v>
      </c>
      <c r="DM113" s="369" t="s">
        <v>813</v>
      </c>
      <c r="DN113" s="369" t="s">
        <v>814</v>
      </c>
      <c r="DO113" s="462" t="s">
        <v>815</v>
      </c>
      <c r="DQ113" s="58" t="s">
        <v>231</v>
      </c>
    </row>
    <row r="114" spans="2:121" ht="19.5" customHeight="1">
      <c r="B114" s="110" t="s">
        <v>239</v>
      </c>
      <c r="C114" s="115"/>
      <c r="D114" s="65"/>
      <c r="E114" s="357">
        <v>12</v>
      </c>
      <c r="F114" s="490">
        <v>4.6</v>
      </c>
      <c r="G114" s="490">
        <v>5</v>
      </c>
      <c r="H114" s="491">
        <v>284</v>
      </c>
      <c r="M114" s="58" t="s">
        <v>231</v>
      </c>
      <c r="N114" s="55" t="s">
        <v>1</v>
      </c>
      <c r="O114" s="55">
        <v>17</v>
      </c>
      <c r="Q114" s="2">
        <f t="shared" si="82"/>
        <v>55</v>
      </c>
      <c r="R114" s="2">
        <f t="shared" si="83"/>
        <v>48</v>
      </c>
      <c r="S114" s="49">
        <f t="shared" si="79"/>
        <v>273</v>
      </c>
      <c r="U114" s="55" t="s">
        <v>1</v>
      </c>
      <c r="W114" s="55" t="s">
        <v>1</v>
      </c>
      <c r="AB114" s="65" t="str">
        <f t="shared" si="89"/>
        <v>  |</v>
      </c>
      <c r="AC114" s="65">
        <f aca="true" t="shared" si="100" ref="AC114:AU114">IF(AC154=1," S",IF(AC184=1,$T$8,IF(AC214=1,$S$8,IF(AC244=1,$R$8,""))))</f>
      </c>
      <c r="AD114" s="65">
        <f t="shared" si="100"/>
      </c>
      <c r="AE114" s="65">
        <f t="shared" si="100"/>
      </c>
      <c r="AF114" s="65">
        <f t="shared" si="100"/>
      </c>
      <c r="AG114" s="65">
        <f t="shared" si="100"/>
      </c>
      <c r="AH114" s="65">
        <f t="shared" si="100"/>
      </c>
      <c r="AI114" s="65">
        <f t="shared" si="100"/>
      </c>
      <c r="AJ114" s="65">
        <f t="shared" si="100"/>
      </c>
      <c r="AK114" s="65">
        <f t="shared" si="100"/>
      </c>
      <c r="AL114" s="65">
        <f t="shared" si="100"/>
      </c>
      <c r="AM114" s="65">
        <f t="shared" si="100"/>
      </c>
      <c r="AN114" s="65">
        <f t="shared" si="100"/>
      </c>
      <c r="AO114" s="65">
        <f t="shared" si="100"/>
      </c>
      <c r="AP114" s="65">
        <f t="shared" si="100"/>
      </c>
      <c r="AQ114" s="65">
        <f t="shared" si="100"/>
      </c>
      <c r="AR114" s="65">
        <f t="shared" si="100"/>
      </c>
      <c r="AS114" s="65">
        <f t="shared" si="100"/>
      </c>
      <c r="AT114" s="65">
        <f t="shared" si="100"/>
      </c>
      <c r="AU114" s="65">
        <f t="shared" si="100"/>
      </c>
      <c r="AV114" s="65" t="str">
        <f t="shared" si="91"/>
        <v>  |</v>
      </c>
      <c r="AW114" s="65">
        <f aca="true" t="shared" si="101" ref="AW114:BO114">IF(AW154=1," S",IF(AW184=1,$T$8,IF(AW214=1,$S$8,IF(AW244=1,$R$8,""))))</f>
      </c>
      <c r="AX114" s="65">
        <f t="shared" si="101"/>
      </c>
      <c r="AY114" s="65">
        <f t="shared" si="101"/>
      </c>
      <c r="AZ114" s="65">
        <f t="shared" si="101"/>
      </c>
      <c r="BA114" s="65">
        <f t="shared" si="101"/>
      </c>
      <c r="BB114" s="65">
        <f t="shared" si="101"/>
      </c>
      <c r="BC114" s="65">
        <f t="shared" si="101"/>
      </c>
      <c r="BD114" s="65">
        <f t="shared" si="101"/>
      </c>
      <c r="BE114" s="65">
        <f t="shared" si="101"/>
      </c>
      <c r="BF114" s="65">
        <f t="shared" si="101"/>
      </c>
      <c r="BG114" s="65">
        <f t="shared" si="101"/>
      </c>
      <c r="BH114" s="65">
        <f t="shared" si="101"/>
      </c>
      <c r="BI114" s="65">
        <f t="shared" si="101"/>
      </c>
      <c r="BJ114" s="65">
        <f t="shared" si="101"/>
      </c>
      <c r="BK114" s="65">
        <f t="shared" si="101"/>
      </c>
      <c r="BL114" s="65">
        <f t="shared" si="101"/>
      </c>
      <c r="BM114" s="65">
        <f t="shared" si="101"/>
      </c>
      <c r="BN114" s="65">
        <f t="shared" si="101"/>
      </c>
      <c r="BO114" s="65">
        <f t="shared" si="101"/>
      </c>
      <c r="BP114" s="65" t="str">
        <f t="shared" si="93"/>
        <v>  |</v>
      </c>
      <c r="BQ114" s="55">
        <f>IF(R166&gt;=0.45,IF(R166&lt;0.55,1,0),0)</f>
        <v>0</v>
      </c>
      <c r="BS114" s="55">
        <f>IF(S150&gt;=0.45,IF(S150&lt;0.55,1,0),0)</f>
        <v>0</v>
      </c>
      <c r="BT114" s="55">
        <f>IF(R150&gt;=0.45,IF(R150&lt;0.55,1,0),0)</f>
        <v>0</v>
      </c>
      <c r="BU114" s="55">
        <f>IF(Q150&gt;=0.45,IF(Q150&lt;0.55,1,0),0)</f>
        <v>0</v>
      </c>
      <c r="BW114" s="28" t="s">
        <v>61</v>
      </c>
      <c r="BX114" s="26"/>
      <c r="BY114" s="73">
        <f>IF($Q$178&gt;=0.225,IF($Q$178&lt;0.265,1,0),0)</f>
        <v>0</v>
      </c>
      <c r="BZ114" s="73"/>
      <c r="CA114" s="73">
        <f>IF($R$178&gt;=0.225,IF($R$178&lt;0.265,1,0),0)</f>
        <v>0</v>
      </c>
      <c r="CB114" s="73"/>
      <c r="CC114" s="73">
        <f>IF($S$178&gt;=0.225,IF($S$178&lt;0.265,1,0),0)</f>
        <v>0</v>
      </c>
      <c r="CD114" s="26"/>
      <c r="CI114" s="55" t="s">
        <v>1</v>
      </c>
      <c r="DB114" s="7"/>
      <c r="DC114" s="7"/>
      <c r="DJ114" s="369" t="s">
        <v>828</v>
      </c>
      <c r="DK114" s="461" t="s">
        <v>829</v>
      </c>
      <c r="DL114" s="369" t="s">
        <v>807</v>
      </c>
      <c r="DM114" s="369" t="s">
        <v>808</v>
      </c>
      <c r="DN114" s="369" t="s">
        <v>809</v>
      </c>
      <c r="DO114" s="462" t="s">
        <v>810</v>
      </c>
      <c r="DQ114" s="58" t="s">
        <v>231</v>
      </c>
    </row>
    <row r="115" spans="2:121" ht="19.5" customHeight="1">
      <c r="B115" s="110" t="s">
        <v>240</v>
      </c>
      <c r="C115" s="115"/>
      <c r="D115" s="65"/>
      <c r="E115" s="357">
        <v>13</v>
      </c>
      <c r="F115" s="492">
        <v>2.98</v>
      </c>
      <c r="G115" s="492">
        <v>1.54</v>
      </c>
      <c r="H115" s="491">
        <v>280</v>
      </c>
      <c r="M115" s="58" t="s">
        <v>231</v>
      </c>
      <c r="N115" s="55" t="s">
        <v>1</v>
      </c>
      <c r="O115" s="55">
        <v>18</v>
      </c>
      <c r="Q115" s="2">
        <f t="shared" si="82"/>
        <v>65</v>
      </c>
      <c r="R115" s="2">
        <f t="shared" si="83"/>
        <v>50</v>
      </c>
      <c r="S115" s="49">
        <f t="shared" si="79"/>
        <v>280</v>
      </c>
      <c r="U115" s="55" t="s">
        <v>1</v>
      </c>
      <c r="W115" s="55" t="s">
        <v>1</v>
      </c>
      <c r="Z115" s="55" t="s">
        <v>275</v>
      </c>
      <c r="AB115" s="65" t="str">
        <f t="shared" si="89"/>
        <v>  |</v>
      </c>
      <c r="AC115" s="65">
        <f aca="true" t="shared" si="102" ref="AC115:AU115">IF(AC155=1," S",IF(AC185=1,$T$8,IF(AC215=1,$S$8,IF(AC245=1,$R$8,""))))</f>
      </c>
      <c r="AD115" s="65">
        <f t="shared" si="102"/>
      </c>
      <c r="AE115" s="65">
        <f t="shared" si="102"/>
      </c>
      <c r="AF115" s="65">
        <f t="shared" si="102"/>
      </c>
      <c r="AG115" s="65">
        <f t="shared" si="102"/>
      </c>
      <c r="AH115" s="65">
        <f t="shared" si="102"/>
      </c>
      <c r="AI115" s="65">
        <f t="shared" si="102"/>
      </c>
      <c r="AJ115" s="65">
        <f t="shared" si="102"/>
      </c>
      <c r="AK115" s="65">
        <f t="shared" si="102"/>
      </c>
      <c r="AL115" s="65">
        <f t="shared" si="102"/>
      </c>
      <c r="AM115" s="65">
        <f t="shared" si="102"/>
      </c>
      <c r="AN115" s="65">
        <f t="shared" si="102"/>
      </c>
      <c r="AO115" s="65">
        <f t="shared" si="102"/>
      </c>
      <c r="AP115" s="65">
        <f t="shared" si="102"/>
      </c>
      <c r="AQ115" s="65">
        <f t="shared" si="102"/>
      </c>
      <c r="AR115" s="65">
        <f t="shared" si="102"/>
      </c>
      <c r="AS115" s="65">
        <f t="shared" si="102"/>
      </c>
      <c r="AT115" s="65">
        <f t="shared" si="102"/>
      </c>
      <c r="AU115" s="65">
        <f t="shared" si="102"/>
      </c>
      <c r="AV115" s="65" t="str">
        <f t="shared" si="91"/>
        <v>  |</v>
      </c>
      <c r="AW115" s="65">
        <f aca="true" t="shared" si="103" ref="AW115:BO115">IF(AW155=1," S",IF(AW185=1,$T$8,IF(AW215=1,$S$8,IF(AW245=1,$R$8,""))))</f>
      </c>
      <c r="AX115" s="65">
        <f t="shared" si="103"/>
      </c>
      <c r="AY115" s="65">
        <f t="shared" si="103"/>
      </c>
      <c r="AZ115" s="65">
        <f t="shared" si="103"/>
      </c>
      <c r="BA115" s="65">
        <f t="shared" si="103"/>
      </c>
      <c r="BB115" s="65">
        <f t="shared" si="103"/>
      </c>
      <c r="BC115" s="65">
        <f t="shared" si="103"/>
      </c>
      <c r="BD115" s="65">
        <f t="shared" si="103"/>
      </c>
      <c r="BE115" s="65">
        <f t="shared" si="103"/>
      </c>
      <c r="BF115" s="65">
        <f t="shared" si="103"/>
      </c>
      <c r="BG115" s="65">
        <f t="shared" si="103"/>
      </c>
      <c r="BH115" s="65">
        <f t="shared" si="103"/>
      </c>
      <c r="BI115" s="65">
        <f t="shared" si="103"/>
      </c>
      <c r="BJ115" s="65">
        <f t="shared" si="103"/>
      </c>
      <c r="BK115" s="65">
        <f t="shared" si="103"/>
      </c>
      <c r="BL115" s="65">
        <f t="shared" si="103"/>
      </c>
      <c r="BM115" s="65">
        <f t="shared" si="103"/>
      </c>
      <c r="BN115" s="65">
        <f t="shared" si="103"/>
      </c>
      <c r="BO115" s="65">
        <f t="shared" si="103"/>
      </c>
      <c r="BP115" s="65" t="str">
        <f t="shared" si="93"/>
        <v>  |</v>
      </c>
      <c r="BQ115" s="55">
        <f>IF(R166&gt;=0.35,IF(R166&lt;0.45,1,0),0)</f>
        <v>0</v>
      </c>
      <c r="BS115" s="55">
        <f>IF(S150&gt;=0.35,IF(S150&lt;0.45,1,0),0)</f>
        <v>0</v>
      </c>
      <c r="BT115" s="55">
        <f>IF(R150&gt;=0.35,IF(R150&lt;0.45,1,0),0)</f>
        <v>0</v>
      </c>
      <c r="BU115" s="55">
        <f>IF(Q150&gt;=0.35,IF(Q150&lt;0.45,1,0),0)</f>
        <v>0</v>
      </c>
      <c r="BW115" s="28"/>
      <c r="BX115" s="26"/>
      <c r="BY115" s="73">
        <f>IF($Q$178&gt;=0.185,IF($Q$178&lt;0.225,1,0),0)</f>
        <v>0</v>
      </c>
      <c r="BZ115" s="73"/>
      <c r="CA115" s="73">
        <f>IF($R$178&gt;=0.185,IF($R$178&lt;0.225,1,0),0)</f>
        <v>0</v>
      </c>
      <c r="CB115" s="73"/>
      <c r="CC115" s="73">
        <f>IF($S$178&gt;=0.185,IF($S$178&lt;0.225,1,0),0)</f>
        <v>0</v>
      </c>
      <c r="CD115" s="26"/>
      <c r="CE115" s="101" t="s">
        <v>300</v>
      </c>
      <c r="CI115" s="55" t="s">
        <v>1</v>
      </c>
      <c r="DJ115" s="369" t="s">
        <v>830</v>
      </c>
      <c r="DK115" s="461" t="s">
        <v>831</v>
      </c>
      <c r="DL115" s="369" t="s">
        <v>807</v>
      </c>
      <c r="DM115" s="369" t="s">
        <v>808</v>
      </c>
      <c r="DN115" s="369" t="s">
        <v>809</v>
      </c>
      <c r="DO115" s="462" t="s">
        <v>810</v>
      </c>
      <c r="DQ115" s="58" t="s">
        <v>231</v>
      </c>
    </row>
    <row r="116" spans="2:121" ht="19.5" customHeight="1">
      <c r="B116" s="110" t="s">
        <v>2243</v>
      </c>
      <c r="C116" s="66"/>
      <c r="D116" s="66"/>
      <c r="E116" s="357">
        <v>17</v>
      </c>
      <c r="F116" s="491">
        <v>55</v>
      </c>
      <c r="G116" s="491">
        <v>48</v>
      </c>
      <c r="H116" s="491">
        <v>273</v>
      </c>
      <c r="M116" s="58" t="s">
        <v>231</v>
      </c>
      <c r="N116" s="55" t="s">
        <v>1</v>
      </c>
      <c r="O116" s="55">
        <v>19</v>
      </c>
      <c r="Q116" s="2">
        <f t="shared" si="82"/>
        <v>48.3</v>
      </c>
      <c r="R116" s="2">
        <f t="shared" si="83"/>
        <v>45.9</v>
      </c>
      <c r="S116" s="49">
        <f t="shared" si="79"/>
        <v>283</v>
      </c>
      <c r="U116" s="55" t="s">
        <v>1</v>
      </c>
      <c r="W116" s="55" t="s">
        <v>1</v>
      </c>
      <c r="AB116" s="65" t="str">
        <f t="shared" si="89"/>
        <v>  |</v>
      </c>
      <c r="AC116" s="65">
        <f aca="true" t="shared" si="104" ref="AC116:AU116">IF(AC156=1," S",IF(AC186=1,$T$8,IF(AC216=1,$S$8,IF(AC246=1,$R$8,""))))</f>
      </c>
      <c r="AD116" s="65">
        <f t="shared" si="104"/>
      </c>
      <c r="AE116" s="65">
        <f t="shared" si="104"/>
      </c>
      <c r="AF116" s="65">
        <f t="shared" si="104"/>
      </c>
      <c r="AG116" s="65">
        <f t="shared" si="104"/>
      </c>
      <c r="AH116" s="65">
        <f t="shared" si="104"/>
      </c>
      <c r="AI116" s="65">
        <f t="shared" si="104"/>
      </c>
      <c r="AJ116" s="65">
        <f t="shared" si="104"/>
      </c>
      <c r="AK116" s="65">
        <f t="shared" si="104"/>
      </c>
      <c r="AL116" s="65">
        <f t="shared" si="104"/>
      </c>
      <c r="AM116" s="65">
        <f t="shared" si="104"/>
      </c>
      <c r="AN116" s="65">
        <f t="shared" si="104"/>
      </c>
      <c r="AO116" s="65">
        <f t="shared" si="104"/>
      </c>
      <c r="AP116" s="65">
        <f t="shared" si="104"/>
      </c>
      <c r="AQ116" s="65">
        <f t="shared" si="104"/>
      </c>
      <c r="AR116" s="65">
        <f t="shared" si="104"/>
      </c>
      <c r="AS116" s="65">
        <f t="shared" si="104"/>
      </c>
      <c r="AT116" s="65">
        <f t="shared" si="104"/>
      </c>
      <c r="AU116" s="65">
        <f t="shared" si="104"/>
      </c>
      <c r="AV116" s="65" t="str">
        <f t="shared" si="91"/>
        <v>  |</v>
      </c>
      <c r="AW116" s="65">
        <f aca="true" t="shared" si="105" ref="AW116:BO116">IF(AW156=1," S",IF(AW186=1,$T$8,IF(AW216=1,$S$8,IF(AW246=1,$R$8,""))))</f>
      </c>
      <c r="AX116" s="65">
        <f t="shared" si="105"/>
      </c>
      <c r="AY116" s="65">
        <f t="shared" si="105"/>
      </c>
      <c r="AZ116" s="65">
        <f t="shared" si="105"/>
      </c>
      <c r="BA116" s="65">
        <f t="shared" si="105"/>
      </c>
      <c r="BB116" s="65">
        <f t="shared" si="105"/>
      </c>
      <c r="BC116" s="65">
        <f t="shared" si="105"/>
      </c>
      <c r="BD116" s="65">
        <f t="shared" si="105"/>
      </c>
      <c r="BE116" s="65">
        <f t="shared" si="105"/>
      </c>
      <c r="BF116" s="65">
        <f t="shared" si="105"/>
      </c>
      <c r="BG116" s="65">
        <f t="shared" si="105"/>
      </c>
      <c r="BH116" s="65">
        <f t="shared" si="105"/>
      </c>
      <c r="BI116" s="65">
        <f t="shared" si="105"/>
      </c>
      <c r="BJ116" s="65">
        <f t="shared" si="105"/>
      </c>
      <c r="BK116" s="65">
        <f t="shared" si="105"/>
      </c>
      <c r="BL116" s="65">
        <f t="shared" si="105"/>
      </c>
      <c r="BM116" s="65">
        <f t="shared" si="105"/>
      </c>
      <c r="BN116" s="65">
        <f t="shared" si="105"/>
      </c>
      <c r="BO116" s="65">
        <f t="shared" si="105"/>
      </c>
      <c r="BP116" s="65" t="str">
        <f t="shared" si="93"/>
        <v>  |</v>
      </c>
      <c r="BQ116" s="55">
        <f>IF(R166&gt;=0.25,IF(R166&lt;0.35,1,0),0)</f>
        <v>0</v>
      </c>
      <c r="BS116" s="55">
        <f>IF(S150&gt;=0.25,IF(S150&lt;0.35,1,0),0)</f>
        <v>0</v>
      </c>
      <c r="BT116" s="55">
        <f>IF(R150&gt;=0.25,IF(R150&lt;0.35,1,0),0)</f>
        <v>0</v>
      </c>
      <c r="BU116" s="55">
        <f>IF(Q150&gt;=0.25,IF(Q150&lt;0.35,1,0),0)</f>
        <v>0</v>
      </c>
      <c r="BW116" s="28" t="s">
        <v>65</v>
      </c>
      <c r="BX116" s="26"/>
      <c r="BY116" s="73">
        <f>IF($Q$178&gt;=0.145,IF($Q$178&lt;0.185,1,0),0)</f>
        <v>0</v>
      </c>
      <c r="BZ116" s="73"/>
      <c r="CA116" s="73">
        <f>IF($R$178&gt;=0.145,IF($R$178&lt;0.185,1,0),0)</f>
        <v>0</v>
      </c>
      <c r="CB116" s="73"/>
      <c r="CC116" s="73">
        <f>IF($S$178&gt;=0.145,IF($S$178&lt;0.185,1,0),0)</f>
        <v>0</v>
      </c>
      <c r="CD116" s="26"/>
      <c r="CI116" s="55" t="s">
        <v>1</v>
      </c>
      <c r="DB116" s="7"/>
      <c r="DC116" s="7"/>
      <c r="DJ116" s="369" t="s">
        <v>832</v>
      </c>
      <c r="DK116" s="461" t="s">
        <v>833</v>
      </c>
      <c r="DL116" s="369" t="s">
        <v>807</v>
      </c>
      <c r="DM116" s="369" t="s">
        <v>808</v>
      </c>
      <c r="DN116" s="369" t="s">
        <v>809</v>
      </c>
      <c r="DO116" s="462" t="s">
        <v>810</v>
      </c>
      <c r="DQ116" s="58" t="s">
        <v>231</v>
      </c>
    </row>
    <row r="117" spans="2:121" ht="19.5" customHeight="1">
      <c r="B117" s="110" t="s">
        <v>2244</v>
      </c>
      <c r="C117" s="66"/>
      <c r="D117" s="66"/>
      <c r="E117" s="357">
        <v>18</v>
      </c>
      <c r="F117" s="491">
        <v>65</v>
      </c>
      <c r="G117" s="491">
        <v>50</v>
      </c>
      <c r="H117" s="491">
        <v>280</v>
      </c>
      <c r="M117" s="58" t="s">
        <v>231</v>
      </c>
      <c r="N117" s="55" t="s">
        <v>1</v>
      </c>
      <c r="O117" s="59" t="s">
        <v>0</v>
      </c>
      <c r="P117" s="59" t="s">
        <v>0</v>
      </c>
      <c r="Q117" s="59" t="s">
        <v>0</v>
      </c>
      <c r="R117" s="59" t="s">
        <v>0</v>
      </c>
      <c r="S117" s="59" t="s">
        <v>0</v>
      </c>
      <c r="T117" s="59" t="s">
        <v>0</v>
      </c>
      <c r="U117" s="55" t="s">
        <v>1</v>
      </c>
      <c r="W117" s="55" t="s">
        <v>1</v>
      </c>
      <c r="Z117" s="55" t="s">
        <v>276</v>
      </c>
      <c r="AB117" s="65" t="str">
        <f t="shared" si="89"/>
        <v>  |</v>
      </c>
      <c r="AC117" s="65">
        <f aca="true" t="shared" si="106" ref="AC117:AU117">IF(AC157=1," S",IF(AC187=1,$T$8,IF(AC217=1,$S$8,IF(AC247=1,$R$8,""))))</f>
      </c>
      <c r="AD117" s="65">
        <f t="shared" si="106"/>
      </c>
      <c r="AE117" s="65">
        <f t="shared" si="106"/>
      </c>
      <c r="AF117" s="65">
        <f t="shared" si="106"/>
      </c>
      <c r="AG117" s="65">
        <f t="shared" si="106"/>
      </c>
      <c r="AH117" s="65">
        <f t="shared" si="106"/>
      </c>
      <c r="AI117" s="65">
        <f t="shared" si="106"/>
      </c>
      <c r="AJ117" s="65">
        <f t="shared" si="106"/>
      </c>
      <c r="AK117" s="65">
        <f t="shared" si="106"/>
      </c>
      <c r="AL117" s="65">
        <f t="shared" si="106"/>
      </c>
      <c r="AM117" s="65">
        <f t="shared" si="106"/>
      </c>
      <c r="AN117" s="65">
        <f t="shared" si="106"/>
      </c>
      <c r="AO117" s="65">
        <f t="shared" si="106"/>
      </c>
      <c r="AP117" s="65">
        <f t="shared" si="106"/>
      </c>
      <c r="AQ117" s="65">
        <f t="shared" si="106"/>
      </c>
      <c r="AR117" s="65">
        <f t="shared" si="106"/>
      </c>
      <c r="AS117" s="65">
        <f t="shared" si="106"/>
      </c>
      <c r="AT117" s="65">
        <f t="shared" si="106"/>
      </c>
      <c r="AU117" s="65">
        <f t="shared" si="106"/>
      </c>
      <c r="AV117" s="65" t="str">
        <f t="shared" si="91"/>
        <v>  |</v>
      </c>
      <c r="AW117" s="65">
        <f aca="true" t="shared" si="107" ref="AW117:BO117">IF(AW157=1," S",IF(AW187=1,$T$8,IF(AW217=1,$S$8,IF(AW247=1,$R$8,""))))</f>
      </c>
      <c r="AX117" s="65">
        <f t="shared" si="107"/>
      </c>
      <c r="AY117" s="65">
        <f t="shared" si="107"/>
      </c>
      <c r="AZ117" s="65">
        <f t="shared" si="107"/>
      </c>
      <c r="BA117" s="65">
        <f t="shared" si="107"/>
      </c>
      <c r="BB117" s="65">
        <f t="shared" si="107"/>
      </c>
      <c r="BC117" s="65">
        <f t="shared" si="107"/>
      </c>
      <c r="BD117" s="65">
        <f t="shared" si="107"/>
      </c>
      <c r="BE117" s="65">
        <f t="shared" si="107"/>
      </c>
      <c r="BF117" s="65">
        <f t="shared" si="107"/>
      </c>
      <c r="BG117" s="65">
        <f t="shared" si="107"/>
      </c>
      <c r="BH117" s="65">
        <f t="shared" si="107"/>
      </c>
      <c r="BI117" s="65">
        <f t="shared" si="107"/>
      </c>
      <c r="BJ117" s="65">
        <f t="shared" si="107"/>
      </c>
      <c r="BK117" s="65">
        <f t="shared" si="107"/>
      </c>
      <c r="BL117" s="65">
        <f t="shared" si="107"/>
      </c>
      <c r="BM117" s="65">
        <f t="shared" si="107"/>
      </c>
      <c r="BN117" s="65">
        <f t="shared" si="107"/>
      </c>
      <c r="BO117" s="65">
        <f t="shared" si="107"/>
      </c>
      <c r="BP117" s="65" t="str">
        <f t="shared" si="93"/>
        <v>  |</v>
      </c>
      <c r="BQ117" s="55">
        <f>IF(R166&gt;=0.15,IF(R166&lt;0.25,1,0),0)</f>
        <v>0</v>
      </c>
      <c r="BS117" s="55">
        <f>IF(S150&gt;=0.15,IF(S150&lt;0.25,1,0),0)</f>
        <v>0</v>
      </c>
      <c r="BT117" s="55">
        <f>IF(R150&gt;=0.15,IF(R150&lt;0.25,1,0),0)</f>
        <v>0</v>
      </c>
      <c r="BU117" s="55">
        <f>IF(Q150&gt;=0.15,IF(Q150&lt;0.25,1,0),0)</f>
        <v>0</v>
      </c>
      <c r="BV117" s="7"/>
      <c r="BW117" s="28"/>
      <c r="BX117" s="26"/>
      <c r="BY117" s="73">
        <f>IF($Q$178&gt;=0.095,IF($Q$178&lt;0.145,1,0),0)</f>
        <v>0</v>
      </c>
      <c r="BZ117" s="73"/>
      <c r="CA117" s="73">
        <f>IF($R$178&gt;=0.095,IF($R$178&lt;0.145,1,0),0)</f>
        <v>0</v>
      </c>
      <c r="CB117" s="73"/>
      <c r="CC117" s="73">
        <f>IF($S$178&gt;=0.095,IF($S$178&lt;0.145,1,0),0)</f>
        <v>0</v>
      </c>
      <c r="CD117" s="26"/>
      <c r="CE117" s="47" t="s">
        <v>301</v>
      </c>
      <c r="CF117" s="7"/>
      <c r="CG117" s="7"/>
      <c r="CH117" s="7"/>
      <c r="CI117" s="55" t="s">
        <v>1</v>
      </c>
      <c r="DJ117" s="369" t="s">
        <v>834</v>
      </c>
      <c r="DK117" s="461" t="s">
        <v>835</v>
      </c>
      <c r="DL117" s="369" t="s">
        <v>836</v>
      </c>
      <c r="DM117" s="369" t="s">
        <v>837</v>
      </c>
      <c r="DN117" s="369" t="s">
        <v>838</v>
      </c>
      <c r="DO117" s="462" t="s">
        <v>839</v>
      </c>
      <c r="DQ117" s="58" t="s">
        <v>231</v>
      </c>
    </row>
    <row r="118" spans="2:121" ht="19.5" customHeight="1">
      <c r="B118" s="110" t="s">
        <v>241</v>
      </c>
      <c r="C118" s="115"/>
      <c r="D118" s="65"/>
      <c r="E118" s="357">
        <v>19</v>
      </c>
      <c r="F118" s="488">
        <v>48.3</v>
      </c>
      <c r="G118" s="490">
        <v>45.9</v>
      </c>
      <c r="H118" s="491">
        <v>283</v>
      </c>
      <c r="M118" s="58" t="s">
        <v>231</v>
      </c>
      <c r="N118" s="55" t="s">
        <v>1</v>
      </c>
      <c r="O118" s="55" t="s">
        <v>317</v>
      </c>
      <c r="T118" s="55" t="str">
        <f>IF(R11=1,FIXED(D122,0,TRUE),IF(R11=2,FIXED(D142,0,TRUE),IF(R11=3,FIXED(D162,0,TRUE),FIXED(D182,0,TRUE))))</f>
        <v>2020</v>
      </c>
      <c r="U118" s="55" t="s">
        <v>1</v>
      </c>
      <c r="W118" s="55" t="s">
        <v>1</v>
      </c>
      <c r="AB118" s="65" t="str">
        <f t="shared" si="89"/>
        <v>  |</v>
      </c>
      <c r="AC118" s="65">
        <f aca="true" t="shared" si="108" ref="AC118:AU118">IF(AC158=1," S",IF(AC188=1,$T$8,IF(AC218=1,$S$8,IF(AC248=1,$R$8,""))))</f>
      </c>
      <c r="AD118" s="65">
        <f t="shared" si="108"/>
      </c>
      <c r="AE118" s="65">
        <f t="shared" si="108"/>
      </c>
      <c r="AF118" s="65">
        <f t="shared" si="108"/>
      </c>
      <c r="AG118" s="65">
        <f t="shared" si="108"/>
      </c>
      <c r="AH118" s="65">
        <f t="shared" si="108"/>
      </c>
      <c r="AI118" s="65">
        <f t="shared" si="108"/>
      </c>
      <c r="AJ118" s="65">
        <f t="shared" si="108"/>
      </c>
      <c r="AK118" s="65">
        <f t="shared" si="108"/>
      </c>
      <c r="AL118" s="65">
        <f t="shared" si="108"/>
      </c>
      <c r="AM118" s="65">
        <f t="shared" si="108"/>
      </c>
      <c r="AN118" s="65">
        <f t="shared" si="108"/>
      </c>
      <c r="AO118" s="65">
        <f t="shared" si="108"/>
      </c>
      <c r="AP118" s="65">
        <f t="shared" si="108"/>
      </c>
      <c r="AQ118" s="65">
        <f t="shared" si="108"/>
      </c>
      <c r="AR118" s="65">
        <f t="shared" si="108"/>
      </c>
      <c r="AS118" s="65">
        <f t="shared" si="108"/>
      </c>
      <c r="AT118" s="65">
        <f t="shared" si="108"/>
      </c>
      <c r="AU118" s="65">
        <f t="shared" si="108"/>
      </c>
      <c r="AV118" s="65" t="str">
        <f t="shared" si="91"/>
        <v>  |</v>
      </c>
      <c r="AW118" s="65">
        <f aca="true" t="shared" si="109" ref="AW118:BO118">IF(AW158=1," S",IF(AW188=1,$T$8,IF(AW218=1,$S$8,IF(AW248=1,$R$8,""))))</f>
      </c>
      <c r="AX118" s="65">
        <f t="shared" si="109"/>
      </c>
      <c r="AY118" s="65">
        <f t="shared" si="109"/>
      </c>
      <c r="AZ118" s="65">
        <f t="shared" si="109"/>
      </c>
      <c r="BA118" s="65">
        <f t="shared" si="109"/>
      </c>
      <c r="BB118" s="65">
        <f t="shared" si="109"/>
      </c>
      <c r="BC118" s="65">
        <f t="shared" si="109"/>
      </c>
      <c r="BD118" s="65">
        <f t="shared" si="109"/>
      </c>
      <c r="BE118" s="65">
        <f t="shared" si="109"/>
      </c>
      <c r="BF118" s="65">
        <f t="shared" si="109"/>
      </c>
      <c r="BG118" s="65">
        <f t="shared" si="109"/>
      </c>
      <c r="BH118" s="65">
        <f t="shared" si="109"/>
      </c>
      <c r="BI118" s="65">
        <f t="shared" si="109"/>
      </c>
      <c r="BJ118" s="65">
        <f t="shared" si="109"/>
      </c>
      <c r="BK118" s="65">
        <f t="shared" si="109"/>
      </c>
      <c r="BL118" s="65">
        <f t="shared" si="109"/>
      </c>
      <c r="BM118" s="65">
        <f t="shared" si="109"/>
      </c>
      <c r="BN118" s="65">
        <f t="shared" si="109"/>
      </c>
      <c r="BO118" s="65">
        <f t="shared" si="109"/>
      </c>
      <c r="BP118" s="65" t="str">
        <f t="shared" si="93"/>
        <v>  |</v>
      </c>
      <c r="BQ118" s="55">
        <f>IF(R166&gt;=0.05,IF(R166&lt;0.15,1,0),0)</f>
        <v>0</v>
      </c>
      <c r="BS118" s="55">
        <f>IF(S150&gt;=0.05,IF(S150&lt;0.15,1,0),0)</f>
        <v>0</v>
      </c>
      <c r="BT118" s="55">
        <f>IF(R150&gt;=0.05,IF(R150&lt;0.15,1,0),0)</f>
        <v>0</v>
      </c>
      <c r="BU118" s="55">
        <f>IF(Q150&gt;=0.05,IF(Q150&lt;0.15,1,0),0)</f>
        <v>0</v>
      </c>
      <c r="BV118" s="1"/>
      <c r="BW118" s="76" t="s">
        <v>69</v>
      </c>
      <c r="BX118" s="60"/>
      <c r="BY118" s="73">
        <f>IF($Q$178&gt;=0.055,IF($Q$178&lt;0.095,1,0),0)</f>
        <v>0</v>
      </c>
      <c r="BZ118" s="73"/>
      <c r="CA118" s="73">
        <f>IF($R$178&gt;=0.055,IF($R$178&lt;0.095,1,0),0)</f>
        <v>0</v>
      </c>
      <c r="CB118" s="73"/>
      <c r="CC118" s="73">
        <f>IF($S$178&gt;=0.055,IF($S$178&lt;0.095,1,0),0)</f>
        <v>0</v>
      </c>
      <c r="CD118" s="60"/>
      <c r="CE118" s="1"/>
      <c r="CF118" s="1"/>
      <c r="CH118" s="1"/>
      <c r="CI118" s="55" t="s">
        <v>1</v>
      </c>
      <c r="DJ118" s="369" t="s">
        <v>840</v>
      </c>
      <c r="DK118" s="461" t="s">
        <v>841</v>
      </c>
      <c r="DL118" s="369" t="s">
        <v>836</v>
      </c>
      <c r="DM118" s="369" t="s">
        <v>842</v>
      </c>
      <c r="DN118" s="369" t="s">
        <v>843</v>
      </c>
      <c r="DO118" s="462" t="s">
        <v>844</v>
      </c>
      <c r="DQ118" s="58" t="s">
        <v>231</v>
      </c>
    </row>
    <row r="119" spans="2:121" ht="19.5" customHeight="1" thickBot="1">
      <c r="B119" s="424" t="s">
        <v>2404</v>
      </c>
      <c r="C119" s="54"/>
      <c r="D119" s="54"/>
      <c r="E119" s="54"/>
      <c r="F119" s="54"/>
      <c r="G119" s="54"/>
      <c r="H119" s="54"/>
      <c r="I119" s="124"/>
      <c r="J119" s="486" t="s">
        <v>231</v>
      </c>
      <c r="M119" s="58" t="s">
        <v>231</v>
      </c>
      <c r="N119" s="55" t="s">
        <v>1</v>
      </c>
      <c r="O119" s="55">
        <f>IF(R11=1,H137,IF(R11=2,H157,IF(R11=3,H177,H197)))</f>
        <v>18308</v>
      </c>
      <c r="P119" s="55" t="s">
        <v>327</v>
      </c>
      <c r="R119" s="55" t="str">
        <f>IF(R11=1,D120,IF(R11=2,D140,IF(R11=3,D160,D180)))</f>
        <v>PU450                                           </v>
      </c>
      <c r="U119" s="55" t="s">
        <v>1</v>
      </c>
      <c r="W119" s="55" t="s">
        <v>1</v>
      </c>
      <c r="Z119" s="55" t="s">
        <v>277</v>
      </c>
      <c r="AB119" s="65" t="str">
        <f aca="true" t="shared" si="110" ref="AB119:BP119">IF(AB159=1," S",IF(AB189=1,$T$8,IF(AB219=1,$S$8,IF(AB249=1,$R$8,"--"))))</f>
        <v>--</v>
      </c>
      <c r="AC119" s="65" t="str">
        <f t="shared" si="110"/>
        <v>--</v>
      </c>
      <c r="AD119" s="65" t="str">
        <f t="shared" si="110"/>
        <v>--</v>
      </c>
      <c r="AE119" s="65" t="str">
        <f t="shared" si="110"/>
        <v>--</v>
      </c>
      <c r="AF119" s="65" t="str">
        <f t="shared" si="110"/>
        <v>--</v>
      </c>
      <c r="AG119" s="65" t="str">
        <f t="shared" si="110"/>
        <v>--</v>
      </c>
      <c r="AH119" s="65" t="str">
        <f t="shared" si="110"/>
        <v>--</v>
      </c>
      <c r="AI119" s="65" t="str">
        <f t="shared" si="110"/>
        <v>--</v>
      </c>
      <c r="AJ119" s="65" t="str">
        <f t="shared" si="110"/>
        <v>--</v>
      </c>
      <c r="AK119" s="65" t="str">
        <f t="shared" si="110"/>
        <v>--</v>
      </c>
      <c r="AL119" s="65" t="str">
        <f t="shared" si="110"/>
        <v>--</v>
      </c>
      <c r="AM119" s="65" t="str">
        <f t="shared" si="110"/>
        <v>--</v>
      </c>
      <c r="AN119" s="65" t="str">
        <f t="shared" si="110"/>
        <v>--</v>
      </c>
      <c r="AO119" s="65" t="str">
        <f t="shared" si="110"/>
        <v>--</v>
      </c>
      <c r="AP119" s="65" t="str">
        <f t="shared" si="110"/>
        <v>--</v>
      </c>
      <c r="AQ119" s="65" t="str">
        <f t="shared" si="110"/>
        <v>--</v>
      </c>
      <c r="AR119" s="65" t="str">
        <f t="shared" si="110"/>
        <v>--</v>
      </c>
      <c r="AS119" s="65" t="str">
        <f t="shared" si="110"/>
        <v>--</v>
      </c>
      <c r="AT119" s="65" t="str">
        <f t="shared" si="110"/>
        <v>--</v>
      </c>
      <c r="AU119" s="65" t="str">
        <f t="shared" si="110"/>
        <v>--</v>
      </c>
      <c r="AV119" s="65" t="str">
        <f t="shared" si="110"/>
        <v>--</v>
      </c>
      <c r="AW119" s="65" t="str">
        <f t="shared" si="110"/>
        <v>--</v>
      </c>
      <c r="AX119" s="65" t="str">
        <f t="shared" si="110"/>
        <v>--</v>
      </c>
      <c r="AY119" s="65" t="str">
        <f t="shared" si="110"/>
        <v>--</v>
      </c>
      <c r="AZ119" s="65" t="str">
        <f t="shared" si="110"/>
        <v>--</v>
      </c>
      <c r="BA119" s="65" t="str">
        <f t="shared" si="110"/>
        <v>--</v>
      </c>
      <c r="BB119" s="65" t="str">
        <f t="shared" si="110"/>
        <v>--</v>
      </c>
      <c r="BC119" s="65" t="str">
        <f t="shared" si="110"/>
        <v>--</v>
      </c>
      <c r="BD119" s="65" t="str">
        <f t="shared" si="110"/>
        <v>--</v>
      </c>
      <c r="BE119" s="65" t="str">
        <f t="shared" si="110"/>
        <v>--</v>
      </c>
      <c r="BF119" s="65" t="str">
        <f t="shared" si="110"/>
        <v>--</v>
      </c>
      <c r="BG119" s="65" t="str">
        <f t="shared" si="110"/>
        <v>--</v>
      </c>
      <c r="BH119" s="65" t="str">
        <f t="shared" si="110"/>
        <v>--</v>
      </c>
      <c r="BI119" s="65" t="str">
        <f t="shared" si="110"/>
        <v>--</v>
      </c>
      <c r="BJ119" s="65" t="str">
        <f t="shared" si="110"/>
        <v>--</v>
      </c>
      <c r="BK119" s="65" t="str">
        <f t="shared" si="110"/>
        <v>--</v>
      </c>
      <c r="BL119" s="65" t="str">
        <f t="shared" si="110"/>
        <v>--</v>
      </c>
      <c r="BM119" s="65" t="str">
        <f t="shared" si="110"/>
        <v>--</v>
      </c>
      <c r="BN119" s="65" t="str">
        <f t="shared" si="110"/>
        <v>--</v>
      </c>
      <c r="BO119" s="65" t="str">
        <f t="shared" si="110"/>
        <v>--</v>
      </c>
      <c r="BP119" s="65" t="str">
        <f t="shared" si="110"/>
        <v>--</v>
      </c>
      <c r="BQ119" s="55">
        <f>IF(R166&lt;0.05,1,0)</f>
        <v>0</v>
      </c>
      <c r="BS119" s="55">
        <f>IF(S150&lt;0.05,1,0)</f>
        <v>0</v>
      </c>
      <c r="BT119" s="55">
        <f>IF(R150&lt;0.05,1,0)</f>
        <v>0</v>
      </c>
      <c r="BU119" s="55">
        <f>IF(Q150&lt;0.05,1,0)</f>
        <v>0</v>
      </c>
      <c r="BV119" s="1"/>
      <c r="BW119" s="28"/>
      <c r="BX119" s="26"/>
      <c r="BY119" s="73">
        <f>IF($Q$178&gt;=0.005,IF($Q$178&lt;0.055,1,0),0)</f>
        <v>0</v>
      </c>
      <c r="BZ119" s="73"/>
      <c r="CA119" s="73">
        <f>IF($R$178&gt;=0.005,IF($R$178&lt;0.055,1,0),0)</f>
        <v>0</v>
      </c>
      <c r="CB119" s="73"/>
      <c r="CC119" s="73">
        <f>IF($S$178&gt;=0.005,IF($S$178&lt;0.055,1,0),0)</f>
        <v>0</v>
      </c>
      <c r="CD119" s="26"/>
      <c r="CE119" s="48" t="s">
        <v>302</v>
      </c>
      <c r="CF119" s="1"/>
      <c r="CG119" s="1"/>
      <c r="CH119" s="1"/>
      <c r="CI119" s="55" t="s">
        <v>1</v>
      </c>
      <c r="DJ119" s="369" t="s">
        <v>845</v>
      </c>
      <c r="DK119" s="461" t="s">
        <v>846</v>
      </c>
      <c r="DL119" s="369" t="s">
        <v>836</v>
      </c>
      <c r="DM119" s="369" t="s">
        <v>842</v>
      </c>
      <c r="DN119" s="369" t="s">
        <v>843</v>
      </c>
      <c r="DO119" s="462" t="s">
        <v>844</v>
      </c>
      <c r="DQ119" s="58" t="s">
        <v>231</v>
      </c>
    </row>
    <row r="120" spans="2:121" ht="19.5" customHeight="1" thickBot="1">
      <c r="B120" s="105" t="s">
        <v>326</v>
      </c>
      <c r="C120" s="106"/>
      <c r="D120" s="170" t="s">
        <v>323</v>
      </c>
      <c r="E120" s="162" t="s">
        <v>347</v>
      </c>
      <c r="F120" s="60"/>
      <c r="G120" s="60"/>
      <c r="H120" s="171" t="s">
        <v>348</v>
      </c>
      <c r="I120" s="155"/>
      <c r="M120" s="58" t="s">
        <v>231</v>
      </c>
      <c r="N120" s="55" t="s">
        <v>1</v>
      </c>
      <c r="O120" s="55" t="str">
        <f>IF(R11=1,H120,H140)</f>
        <v>Complet</v>
      </c>
      <c r="P120" s="55" t="s">
        <v>325</v>
      </c>
      <c r="Q120" s="55" t="str">
        <f>IF(R11=1,D121,D141)</f>
        <v>Ensemble de tous les secteurs d'activité</v>
      </c>
      <c r="U120" s="55" t="s">
        <v>1</v>
      </c>
      <c r="W120" s="55" t="s">
        <v>1</v>
      </c>
      <c r="AA120" s="55" t="s">
        <v>2</v>
      </c>
      <c r="AB120" s="65" t="s">
        <v>280</v>
      </c>
      <c r="AH120" s="74" t="s">
        <v>77</v>
      </c>
      <c r="AV120" s="65" t="s">
        <v>280</v>
      </c>
      <c r="BB120" s="74" t="s">
        <v>78</v>
      </c>
      <c r="BP120" s="65" t="s">
        <v>280</v>
      </c>
      <c r="BQ120" s="7"/>
      <c r="BU120" s="7"/>
      <c r="BW120" s="28" t="s">
        <v>74</v>
      </c>
      <c r="BX120" s="26"/>
      <c r="BY120" s="73">
        <f>IF($Q$178&gt;=-0.125,IF($Q$178&lt;0.005,1,0),0)</f>
        <v>0</v>
      </c>
      <c r="BZ120" s="73"/>
      <c r="CA120" s="73">
        <f>IF($R$178&gt;=-0.125,IF($R$178&lt;0.005,1,0),0)</f>
        <v>0</v>
      </c>
      <c r="CB120" s="73"/>
      <c r="CC120" s="73">
        <f>IF($S$178&gt;=-0.125,IF($S$178&lt;0.005,1,0),0)</f>
        <v>0</v>
      </c>
      <c r="CD120" s="26"/>
      <c r="CE120" s="1"/>
      <c r="CF120" s="1"/>
      <c r="CI120" s="55" t="s">
        <v>1</v>
      </c>
      <c r="DJ120" s="369" t="s">
        <v>847</v>
      </c>
      <c r="DK120" s="461" t="s">
        <v>848</v>
      </c>
      <c r="DL120" s="369" t="s">
        <v>836</v>
      </c>
      <c r="DM120" s="369" t="s">
        <v>849</v>
      </c>
      <c r="DN120" s="369" t="s">
        <v>850</v>
      </c>
      <c r="DO120" s="462" t="s">
        <v>847</v>
      </c>
      <c r="DQ120" s="58" t="s">
        <v>231</v>
      </c>
    </row>
    <row r="121" spans="2:121" ht="19.5" customHeight="1" thickBot="1">
      <c r="B121" s="105" t="s">
        <v>324</v>
      </c>
      <c r="D121" s="172" t="s">
        <v>350</v>
      </c>
      <c r="E121" s="130"/>
      <c r="F121" s="130"/>
      <c r="G121" s="130"/>
      <c r="H121" s="131"/>
      <c r="I121" s="394" t="s">
        <v>231</v>
      </c>
      <c r="J121" s="60"/>
      <c r="M121" s="58" t="s">
        <v>231</v>
      </c>
      <c r="N121" s="55" t="s">
        <v>1</v>
      </c>
      <c r="O121" s="59" t="s">
        <v>3</v>
      </c>
      <c r="P121" s="59" t="s">
        <v>3</v>
      </c>
      <c r="Q121" s="59" t="s">
        <v>3</v>
      </c>
      <c r="R121" s="59" t="s">
        <v>3</v>
      </c>
      <c r="S121" s="59" t="s">
        <v>3</v>
      </c>
      <c r="T121" s="59" t="s">
        <v>3</v>
      </c>
      <c r="U121" s="55" t="s">
        <v>1</v>
      </c>
      <c r="W121" s="55" t="s">
        <v>1</v>
      </c>
      <c r="AA121" s="55" t="s">
        <v>2</v>
      </c>
      <c r="AB121" s="65" t="s">
        <v>280</v>
      </c>
      <c r="AG121" s="65" t="s">
        <v>280</v>
      </c>
      <c r="AL121" s="65" t="s">
        <v>280</v>
      </c>
      <c r="AQ121" s="65" t="s">
        <v>280</v>
      </c>
      <c r="AV121" s="65" t="s">
        <v>280</v>
      </c>
      <c r="BA121" s="65" t="s">
        <v>280</v>
      </c>
      <c r="BF121" s="65" t="s">
        <v>280</v>
      </c>
      <c r="BH121" s="7"/>
      <c r="BI121" s="7"/>
      <c r="BJ121" s="7"/>
      <c r="BK121" s="65" t="s">
        <v>280</v>
      </c>
      <c r="BM121" s="7"/>
      <c r="BN121" s="7"/>
      <c r="BO121" s="7"/>
      <c r="BP121" s="65" t="s">
        <v>280</v>
      </c>
      <c r="BU121" s="7"/>
      <c r="BW121" s="28"/>
      <c r="BX121" s="26"/>
      <c r="BY121" s="73">
        <f>IF($Q$178&gt;=-0.235,IF($Q$178&lt;-0.125,1,0),0)</f>
        <v>0</v>
      </c>
      <c r="BZ121" s="73"/>
      <c r="CA121" s="73">
        <f>IF($R$178&gt;=-0.235,IF($R$178&lt;-0.125,1,0),0)</f>
        <v>0</v>
      </c>
      <c r="CB121" s="73"/>
      <c r="CC121" s="73">
        <f>IF($S$178&gt;=-0.235,IF($S$178&lt;-0.125,1,0),0)</f>
        <v>0</v>
      </c>
      <c r="CD121" s="26"/>
      <c r="CE121" s="48" t="s">
        <v>303</v>
      </c>
      <c r="CF121" s="1"/>
      <c r="CH121" s="1"/>
      <c r="CI121" s="55" t="s">
        <v>1</v>
      </c>
      <c r="DJ121" s="369" t="s">
        <v>851</v>
      </c>
      <c r="DK121" s="461" t="s">
        <v>852</v>
      </c>
      <c r="DL121" s="369" t="s">
        <v>836</v>
      </c>
      <c r="DM121" s="369" t="s">
        <v>842</v>
      </c>
      <c r="DN121" s="369" t="s">
        <v>843</v>
      </c>
      <c r="DO121" s="462" t="s">
        <v>844</v>
      </c>
      <c r="DQ121" s="58" t="s">
        <v>231</v>
      </c>
    </row>
    <row r="122" spans="2:121" ht="19.5" customHeight="1" thickBot="1">
      <c r="B122" s="105" t="s">
        <v>343</v>
      </c>
      <c r="C122" s="106"/>
      <c r="D122" s="173">
        <f>+J7</f>
        <v>2020</v>
      </c>
      <c r="E122" s="168"/>
      <c r="F122" s="159"/>
      <c r="G122" s="159"/>
      <c r="H122" s="96"/>
      <c r="I122" s="169"/>
      <c r="J122" s="60"/>
      <c r="M122" s="58" t="s">
        <v>231</v>
      </c>
      <c r="N122" s="55" t="s">
        <v>1</v>
      </c>
      <c r="O122" s="75" t="s">
        <v>232</v>
      </c>
      <c r="Q122" s="75" t="s">
        <v>314</v>
      </c>
      <c r="R122" s="75" t="s">
        <v>2258</v>
      </c>
      <c r="S122" s="55" t="s">
        <v>313</v>
      </c>
      <c r="U122" s="55" t="s">
        <v>1</v>
      </c>
      <c r="W122" s="55" t="s">
        <v>1</v>
      </c>
      <c r="AB122" s="58" t="s">
        <v>83</v>
      </c>
      <c r="AG122" s="58" t="s">
        <v>281</v>
      </c>
      <c r="AL122" s="58" t="s">
        <v>84</v>
      </c>
      <c r="AP122" s="7"/>
      <c r="AQ122" s="58" t="s">
        <v>282</v>
      </c>
      <c r="AV122" s="77" t="s">
        <v>85</v>
      </c>
      <c r="BA122" s="58" t="s">
        <v>283</v>
      </c>
      <c r="BF122" s="58" t="s">
        <v>284</v>
      </c>
      <c r="BH122" s="7"/>
      <c r="BI122" s="7"/>
      <c r="BJ122" s="7"/>
      <c r="BK122" s="58" t="s">
        <v>285</v>
      </c>
      <c r="BM122" s="7"/>
      <c r="BN122" s="7"/>
      <c r="BO122" s="7"/>
      <c r="BP122" s="58" t="s">
        <v>286</v>
      </c>
      <c r="BQ122" s="7"/>
      <c r="BU122" s="7"/>
      <c r="BW122" s="28" t="s">
        <v>80</v>
      </c>
      <c r="BX122" s="26"/>
      <c r="BY122" s="73">
        <f>IF($Q$178&gt;=-0.345,IF($Q$178&lt;-0.235,1,0),0)</f>
        <v>0</v>
      </c>
      <c r="BZ122" s="73"/>
      <c r="CA122" s="73">
        <f>IF($R$178&gt;=-0.345,IF($R$178&lt;-0.235,1,0),0)</f>
        <v>0</v>
      </c>
      <c r="CB122" s="73"/>
      <c r="CC122" s="73">
        <f>IF($S$178&gt;=-0.345,IF($S$178&lt;-0.235,1,0),0)</f>
        <v>0</v>
      </c>
      <c r="CD122" s="26"/>
      <c r="CE122" s="1"/>
      <c r="CF122" s="1"/>
      <c r="CG122" s="1"/>
      <c r="CH122" s="1"/>
      <c r="CI122" s="55" t="s">
        <v>1</v>
      </c>
      <c r="DJ122" s="369" t="s">
        <v>853</v>
      </c>
      <c r="DK122" s="461" t="s">
        <v>854</v>
      </c>
      <c r="DL122" s="369" t="s">
        <v>836</v>
      </c>
      <c r="DM122" s="369" t="s">
        <v>842</v>
      </c>
      <c r="DN122" s="369" t="s">
        <v>843</v>
      </c>
      <c r="DO122" s="462" t="s">
        <v>844</v>
      </c>
      <c r="DQ122" s="58" t="s">
        <v>231</v>
      </c>
    </row>
    <row r="123" spans="4:121" ht="19.5" customHeight="1">
      <c r="D123" s="70"/>
      <c r="E123" s="111"/>
      <c r="G123" s="106"/>
      <c r="H123" s="112"/>
      <c r="I123" s="125"/>
      <c r="M123" s="58" t="s">
        <v>231</v>
      </c>
      <c r="N123" s="55" t="s">
        <v>1</v>
      </c>
      <c r="O123" s="59" t="s">
        <v>3</v>
      </c>
      <c r="P123" s="59" t="s">
        <v>3</v>
      </c>
      <c r="Q123" s="59" t="s">
        <v>3</v>
      </c>
      <c r="R123" s="59" t="s">
        <v>3</v>
      </c>
      <c r="S123" s="59" t="s">
        <v>3</v>
      </c>
      <c r="T123" s="59" t="s">
        <v>3</v>
      </c>
      <c r="U123" s="55" t="s">
        <v>1</v>
      </c>
      <c r="W123" s="55" t="s">
        <v>1</v>
      </c>
      <c r="AR123" s="7"/>
      <c r="BD123" s="7"/>
      <c r="BE123" s="7"/>
      <c r="BF123" s="7"/>
      <c r="BG123" s="7"/>
      <c r="BH123" s="7"/>
      <c r="BI123" s="7"/>
      <c r="BJ123" s="7"/>
      <c r="BK123" s="7"/>
      <c r="BL123" s="7"/>
      <c r="BN123" s="7"/>
      <c r="BO123" s="7"/>
      <c r="BP123" s="7"/>
      <c r="BU123" s="7"/>
      <c r="BW123" s="28"/>
      <c r="BX123" s="26"/>
      <c r="BY123" s="73">
        <f>IF($Q$178&gt;=-0.455,IF($Q$178&lt;-0.345,1,0),0)</f>
        <v>0</v>
      </c>
      <c r="BZ123" s="73"/>
      <c r="CA123" s="73">
        <f>IF($R$178&gt;=-0.455,IF($R$178&lt;-0.345,1,0),0)</f>
        <v>0</v>
      </c>
      <c r="CB123" s="73"/>
      <c r="CC123" s="73">
        <f>IF($S$178&gt;=-0.455,IF($S$178&lt;-0.345,1,0),0)</f>
        <v>0</v>
      </c>
      <c r="CD123" s="26"/>
      <c r="CE123" s="48" t="s">
        <v>304</v>
      </c>
      <c r="CF123" s="1"/>
      <c r="CG123" s="1"/>
      <c r="CI123" s="55" t="s">
        <v>1</v>
      </c>
      <c r="DJ123" s="369" t="s">
        <v>855</v>
      </c>
      <c r="DK123" s="461" t="s">
        <v>856</v>
      </c>
      <c r="DL123" s="369" t="s">
        <v>857</v>
      </c>
      <c r="DM123" s="369" t="s">
        <v>858</v>
      </c>
      <c r="DN123" s="369" t="s">
        <v>859</v>
      </c>
      <c r="DO123" s="462" t="s">
        <v>64</v>
      </c>
      <c r="DQ123" s="58" t="s">
        <v>231</v>
      </c>
    </row>
    <row r="124" spans="2:121" ht="19.5" customHeight="1">
      <c r="B124" s="64" t="s">
        <v>345</v>
      </c>
      <c r="C124" s="56"/>
      <c r="D124" s="56"/>
      <c r="E124" s="114" t="s">
        <v>316</v>
      </c>
      <c r="F124" s="493" t="s">
        <v>234</v>
      </c>
      <c r="G124" s="493" t="s">
        <v>2256</v>
      </c>
      <c r="H124" s="494" t="s">
        <v>2257</v>
      </c>
      <c r="M124" s="58" t="s">
        <v>231</v>
      </c>
      <c r="N124" s="55" t="s">
        <v>1</v>
      </c>
      <c r="O124" s="55">
        <v>2</v>
      </c>
      <c r="Q124" s="2">
        <f aca="true" t="shared" si="111" ref="Q124:S125">IF($R$11=1,F125,IF($R$11=2,F145,IF($R$11=3,F165,F185)))</f>
        <v>3.29</v>
      </c>
      <c r="R124" s="2">
        <f t="shared" si="111"/>
        <v>3.34</v>
      </c>
      <c r="S124" s="33">
        <f t="shared" si="111"/>
        <v>17063</v>
      </c>
      <c r="U124" s="55" t="s">
        <v>1</v>
      </c>
      <c r="W124" s="55" t="s">
        <v>1</v>
      </c>
      <c r="Z124" s="55" t="s">
        <v>289</v>
      </c>
      <c r="AB124" s="55">
        <f>IF(R165&lt;=-19.5,1,0)</f>
        <v>0</v>
      </c>
      <c r="AC124" s="55">
        <f>IF(R165&lt;=-18.5,IF(R165&gt;-19.5,1,0),0)</f>
        <v>0</v>
      </c>
      <c r="AD124" s="55">
        <f>IF(R165&lt;=-17.5,IF(R165&gt;-18.5,1,0),0)</f>
        <v>0</v>
      </c>
      <c r="AE124" s="55">
        <f>IF(R165&lt;=-16.5,IF(R165&gt;-17.5,1,0),0)</f>
        <v>0</v>
      </c>
      <c r="AF124" s="55">
        <f>IF(R165&lt;=-15.5,IF(R165&gt;-16.5,1,0),0)</f>
        <v>0</v>
      </c>
      <c r="AG124" s="55">
        <f>IF(R165&lt;=-14.5,IF(R165&gt;-15.5,1,0),0)</f>
        <v>0</v>
      </c>
      <c r="AH124" s="55">
        <f>IF(R165&lt;=-13.5,IF(R165&gt;-14.5,1,0),0)</f>
        <v>0</v>
      </c>
      <c r="AI124" s="55">
        <f>IF(R165&lt;=-12.5,IF(R165&gt;-13.5,1,0),0)</f>
        <v>0</v>
      </c>
      <c r="AJ124" s="55">
        <f>IF(R165&lt;=-11.5,IF(R165&gt;-12.5,1,0),0)</f>
        <v>0</v>
      </c>
      <c r="AK124" s="55">
        <f>IF(R165&lt;=-10.5,IF(R165&gt;-11.5,1,0),0)</f>
        <v>0</v>
      </c>
      <c r="AL124" s="55">
        <f>IF(R165&lt;=-9.5,IF(R165&gt;-10.5,1,0),0)</f>
        <v>0</v>
      </c>
      <c r="AM124" s="55">
        <f>IF(R165&lt;=-8.5,IF(R165&gt;-9.5,1,0),0)</f>
        <v>0</v>
      </c>
      <c r="AN124" s="55">
        <f>IF(R165&lt;=-7.5,IF(R165&gt;-8.5,1,0),0)</f>
        <v>0</v>
      </c>
      <c r="AO124" s="55">
        <f>IF(R165&lt;=-6.5,IF(R165&gt;-7.5,1,0),0)</f>
        <v>0</v>
      </c>
      <c r="AP124" s="55">
        <f>IF(R165&lt;=-5.5,IF(R165&gt;-6.5,1,0),0)</f>
        <v>0</v>
      </c>
      <c r="AQ124" s="55">
        <f>IF(R165&lt;=-4.5,IF(R165&gt;-5.5,1,0),0)</f>
        <v>0</v>
      </c>
      <c r="AR124" s="55">
        <f>IF(R165&lt;=-3.5,IF(R165&gt;-4.5,1,0),0)</f>
        <v>0</v>
      </c>
      <c r="AS124" s="55">
        <f>IF(R165&lt;=-2.5,IF(R165&gt;-3.5,1,0),0)</f>
        <v>0</v>
      </c>
      <c r="AT124" s="55">
        <f>IF(R165&lt;=-1.5,IF(R165&gt;-2.5,1,0),0)</f>
        <v>0</v>
      </c>
      <c r="AU124" s="55">
        <f>IF(R165&lt;=-0.5,IF(R165&gt;-1.5,1,0),0)</f>
        <v>0</v>
      </c>
      <c r="AV124" s="55">
        <f>IF(R165&lt;0.5,IF(R165&gt;-0.5,1,0),0)</f>
        <v>0</v>
      </c>
      <c r="AW124" s="55">
        <f>IF(R165&lt;1.5,IF(R165&gt;=0.5,1,0),0)</f>
        <v>0</v>
      </c>
      <c r="AX124" s="55">
        <f>IF(R165&lt;2.5,IF(R165&gt;=1.5,1,0),0)</f>
        <v>0</v>
      </c>
      <c r="AY124" s="55">
        <f>IF(R165&lt;3.5,IF(R165&gt;=2.5,1,0),0)</f>
        <v>0</v>
      </c>
      <c r="AZ124" s="55">
        <f>IF(R165&lt;4.5,IF(R165&gt;=3.5,1,0),0)</f>
        <v>0</v>
      </c>
      <c r="BA124" s="55">
        <f>IF(R165&lt;5.5,IF(R165&gt;=4.5,1,0),0)</f>
        <v>1</v>
      </c>
      <c r="BB124" s="55">
        <f>IF(R165&lt;6.5,IF(R165&gt;=5.5,1,0),0)</f>
        <v>0</v>
      </c>
      <c r="BC124" s="55">
        <f>IF(R165&lt;7.5,IF(R165&gt;=6.5,1,0),0)</f>
        <v>0</v>
      </c>
      <c r="BD124" s="55">
        <f>IF(R165&lt;8.5,IF(R165&gt;=7.5,1,0),0)</f>
        <v>0</v>
      </c>
      <c r="BE124" s="55">
        <f>IF(R165&lt;9.5,IF(R165&gt;=8.5,1,0),0)</f>
        <v>0</v>
      </c>
      <c r="BF124" s="55">
        <f>IF(R165&lt;10.5,IF(R165&gt;=9.5,1,0),0)</f>
        <v>0</v>
      </c>
      <c r="BG124" s="55">
        <f>IF(R165&lt;11.5,IF(R165&gt;=10.5,1,0),0)</f>
        <v>0</v>
      </c>
      <c r="BH124" s="55">
        <f>IF(R165&lt;12.5,IF(R165&gt;=11.5,1,0),0)</f>
        <v>0</v>
      </c>
      <c r="BI124" s="55">
        <f>IF(R165&lt;13.5,IF(R165&gt;=12.5,1,0),0)</f>
        <v>0</v>
      </c>
      <c r="BJ124" s="55">
        <f>IF(R165&lt;14.5,IF(R165&gt;=13.5,1,0),0)</f>
        <v>0</v>
      </c>
      <c r="BK124" s="55">
        <f>IF(R165&lt;15.5,IF(R165&gt;=14.5,1,0),0)</f>
        <v>0</v>
      </c>
      <c r="BL124" s="55">
        <f>IF(R165&lt;16.5,IF(R165&gt;=15.5,1,0),0)</f>
        <v>0</v>
      </c>
      <c r="BM124" s="55">
        <f>IF(R165&lt;17.5,IF(R165&gt;=16.5,1,0),0)</f>
        <v>0</v>
      </c>
      <c r="BN124" s="55">
        <f>IF(R165&lt;18.5,IF(R165&gt;=17.5,1,0),0)</f>
        <v>0</v>
      </c>
      <c r="BO124" s="55">
        <f>IF(R165&lt;19.5,IF(R165&gt;=18.5,1,0),0)</f>
        <v>0</v>
      </c>
      <c r="BP124" s="55">
        <f>IF(R165&gt;=19.5,1,0)</f>
        <v>0</v>
      </c>
      <c r="BU124" s="7"/>
      <c r="BW124" s="28" t="s">
        <v>86</v>
      </c>
      <c r="BX124" s="26"/>
      <c r="BY124" s="73">
        <f>IF($Q$178&gt;=-0.595,IF($Q$178&lt;-0.455,1,0),0)</f>
        <v>0</v>
      </c>
      <c r="BZ124" s="73"/>
      <c r="CA124" s="73">
        <f>IF($R$178&gt;=-0.595,IF($R$178&lt;-0.455,1,0),0)</f>
        <v>0</v>
      </c>
      <c r="CB124" s="73"/>
      <c r="CC124" s="73">
        <f>IF($S$178&gt;=-0.595,IF($S$178&lt;-0.455,1,0),0)</f>
        <v>0</v>
      </c>
      <c r="CD124" s="26"/>
      <c r="CE124" s="1"/>
      <c r="CF124" s="1"/>
      <c r="CG124" s="1"/>
      <c r="CI124" s="55" t="s">
        <v>1</v>
      </c>
      <c r="CK124" s="7"/>
      <c r="DJ124" s="369" t="s">
        <v>860</v>
      </c>
      <c r="DK124" s="461" t="s">
        <v>861</v>
      </c>
      <c r="DL124" s="369" t="s">
        <v>857</v>
      </c>
      <c r="DM124" s="369" t="s">
        <v>858</v>
      </c>
      <c r="DN124" s="369" t="s">
        <v>859</v>
      </c>
      <c r="DO124" s="462" t="s">
        <v>64</v>
      </c>
      <c r="DQ124" s="58" t="s">
        <v>231</v>
      </c>
    </row>
    <row r="125" spans="2:121" ht="19.5" customHeight="1">
      <c r="B125" s="110" t="s">
        <v>444</v>
      </c>
      <c r="E125" s="357">
        <v>2</v>
      </c>
      <c r="F125" s="498">
        <v>3.29</v>
      </c>
      <c r="G125" s="498">
        <v>3.34</v>
      </c>
      <c r="H125" s="499">
        <v>17063</v>
      </c>
      <c r="M125" s="58" t="s">
        <v>231</v>
      </c>
      <c r="N125" s="55" t="s">
        <v>1</v>
      </c>
      <c r="O125" s="55">
        <v>3</v>
      </c>
      <c r="Q125" s="2">
        <f t="shared" si="111"/>
        <v>20.07</v>
      </c>
      <c r="R125" s="2">
        <f t="shared" si="111"/>
        <v>26.83</v>
      </c>
      <c r="S125" s="33">
        <f t="shared" si="111"/>
        <v>17106</v>
      </c>
      <c r="U125" s="55" t="s">
        <v>1</v>
      </c>
      <c r="W125" s="55" t="s">
        <v>1</v>
      </c>
      <c r="AR125" s="7"/>
      <c r="BD125" s="7"/>
      <c r="BE125" s="7"/>
      <c r="BF125" s="7"/>
      <c r="BG125" s="7"/>
      <c r="BH125" s="7"/>
      <c r="BI125" s="7"/>
      <c r="BJ125" s="7"/>
      <c r="BK125" s="7"/>
      <c r="BL125" s="7"/>
      <c r="BO125" s="7"/>
      <c r="BP125" s="7"/>
      <c r="BU125" s="7"/>
      <c r="BW125" s="28"/>
      <c r="BX125" s="26"/>
      <c r="BY125" s="73">
        <f>IF($Q$178&gt;=-0.735,IF($Q$178&lt;-0.595,1,0),0)</f>
        <v>0</v>
      </c>
      <c r="BZ125" s="73"/>
      <c r="CA125" s="73">
        <f>IF($R$178&gt;=-0.735,IF($R$178&lt;-0.595,1,0),0)</f>
        <v>0</v>
      </c>
      <c r="CB125" s="73"/>
      <c r="CC125" s="73">
        <f>IF($S$178&gt;=-0.735,IF($S$178&lt;-0.595,1,0),0)</f>
        <v>0</v>
      </c>
      <c r="CD125" s="26"/>
      <c r="CE125" s="48" t="s">
        <v>305</v>
      </c>
      <c r="CF125" s="1"/>
      <c r="CG125" s="1"/>
      <c r="CH125" s="1"/>
      <c r="CI125" s="55" t="s">
        <v>1</v>
      </c>
      <c r="DJ125" s="369" t="s">
        <v>862</v>
      </c>
      <c r="DK125" s="463" t="s">
        <v>863</v>
      </c>
      <c r="DL125" s="369" t="s">
        <v>857</v>
      </c>
      <c r="DM125" s="369" t="s">
        <v>858</v>
      </c>
      <c r="DN125" s="369" t="s">
        <v>859</v>
      </c>
      <c r="DO125" s="462" t="s">
        <v>64</v>
      </c>
      <c r="DQ125" s="58" t="s">
        <v>231</v>
      </c>
    </row>
    <row r="126" spans="2:121" ht="19.5" customHeight="1">
      <c r="B126" s="110" t="s">
        <v>235</v>
      </c>
      <c r="C126" s="115"/>
      <c r="D126" s="65"/>
      <c r="E126" s="357">
        <v>3</v>
      </c>
      <c r="F126" s="500">
        <v>20.07</v>
      </c>
      <c r="G126" s="500">
        <v>26.83</v>
      </c>
      <c r="H126" s="501">
        <v>17106</v>
      </c>
      <c r="M126" s="58" t="s">
        <v>231</v>
      </c>
      <c r="N126" s="55" t="s">
        <v>1</v>
      </c>
      <c r="O126" s="55">
        <v>4</v>
      </c>
      <c r="Q126" s="53">
        <f>IF($R$11=1,F127/1000,IF($R$11=2,F147/1000,IF($R$11=3,F167/1000,F187/1000)))</f>
        <v>109.98303999999999</v>
      </c>
      <c r="R126" s="53">
        <f>IF($R$11=1,G127/1000,IF($R$11=2,G147/1000,IF($R$11=3,G167/1000,G187/1000)))</f>
        <v>88.01807000000001</v>
      </c>
      <c r="S126" s="33">
        <f aca="true" t="shared" si="112" ref="S126:S136">IF($R$11=1,H127,IF($R$11=2,H147,IF($R$11=3,H167,H187)))</f>
        <v>12712</v>
      </c>
      <c r="U126" s="55" t="s">
        <v>1</v>
      </c>
      <c r="W126" s="55" t="s">
        <v>1</v>
      </c>
      <c r="Z126" s="55" t="s">
        <v>222</v>
      </c>
      <c r="AB126" s="55">
        <f>IF(S149&lt;=-19.5,1,0)</f>
        <v>0</v>
      </c>
      <c r="AC126" s="55">
        <f>IF(S149&lt;=-18.5,IF(S149&gt;-19.5,1,0),0)</f>
        <v>0</v>
      </c>
      <c r="AD126" s="55">
        <f>IF(S149&lt;=-17.5,IF(S149&gt;-18.5,1,0),0)</f>
        <v>0</v>
      </c>
      <c r="AE126" s="55">
        <f>IF(S149&lt;=-16.5,IF(S149&gt;-17.5,1,0),0)</f>
        <v>0</v>
      </c>
      <c r="AF126" s="55">
        <f>IF(S149&lt;=-15.5,IF(S149&gt;-16.5,1,0),0)</f>
        <v>0</v>
      </c>
      <c r="AG126" s="55">
        <f>IF(S149&lt;=-14.5,IF(S149&gt;-15.5,1,0),0)</f>
        <v>0</v>
      </c>
      <c r="AH126" s="55">
        <f>IF(S149&lt;=-13.5,IF(S149&gt;-14.5,1,0),0)</f>
        <v>0</v>
      </c>
      <c r="AI126" s="55">
        <f>IF(S149&lt;=-12.5,IF(S149&gt;-13.5,1,0),0)</f>
        <v>0</v>
      </c>
      <c r="AJ126" s="55">
        <f>IF(S149&lt;=-11.5,IF(S149&gt;-12.5,1,0),0)</f>
        <v>0</v>
      </c>
      <c r="AK126" s="55">
        <f>IF(S149&lt;=-10.5,IF(S149&gt;-11.5,1,0),0)</f>
        <v>0</v>
      </c>
      <c r="AL126" s="55">
        <f>IF(S149&lt;=-9.5,IF(S149&gt;-10.5,1,0),0)</f>
        <v>0</v>
      </c>
      <c r="AM126" s="55">
        <f>IF(S149&lt;=-8.5,IF(S149&gt;-9.5,1,0),0)</f>
        <v>0</v>
      </c>
      <c r="AN126" s="55">
        <f>IF(S149&lt;=-7.5,IF(S149&gt;-8.5,1,0),0)</f>
        <v>0</v>
      </c>
      <c r="AO126" s="55">
        <f>IF(S149&lt;=-6.5,IF(S149&gt;-7.5,1,0),0)</f>
        <v>0</v>
      </c>
      <c r="AP126" s="55">
        <f>IF(S149&lt;=-5.5,IF(S149&gt;-6.5,1,0),0)</f>
        <v>0</v>
      </c>
      <c r="AQ126" s="55">
        <f>IF(S149&lt;=-4.5,IF(S149&gt;-5.5,1,0),0)</f>
        <v>0</v>
      </c>
      <c r="AR126" s="55">
        <f>IF(S149&lt;=-3.5,IF(S149&gt;-4.5,1,0),0)</f>
        <v>0</v>
      </c>
      <c r="AS126" s="55">
        <f>IF(S149&lt;=-2.5,IF(S149&gt;-3.5,1,0),0)</f>
        <v>0</v>
      </c>
      <c r="AT126" s="55">
        <f>IF(S149&lt;=-1.5,IF(S149&gt;-2.5,1,0),0)</f>
        <v>0</v>
      </c>
      <c r="AU126" s="55">
        <f>IF(S149&lt;=-0.5,IF(S149&gt;-1.5,1,0),0)</f>
        <v>0</v>
      </c>
      <c r="AV126" s="55">
        <f>IF(S149&lt;0.5,IF(S149&gt;-0.5,1,0),0)</f>
        <v>0</v>
      </c>
      <c r="AW126" s="55">
        <f>IF(S149&lt;1.5,IF(S149&gt;=0.5,1,0),0)</f>
        <v>0</v>
      </c>
      <c r="AX126" s="55">
        <f>IF(S149&lt;2.5,IF(S149&gt;=1.5,1,0),0)</f>
        <v>0</v>
      </c>
      <c r="AY126" s="55">
        <f>IF(S149&lt;3.5,IF(S149&gt;=2.5,1,0),0)</f>
        <v>0</v>
      </c>
      <c r="AZ126" s="55">
        <f>IF(S149&lt;4.5,IF(S149&gt;=3.5,1,0),0)</f>
        <v>0</v>
      </c>
      <c r="BA126" s="55">
        <f>IF(S149&lt;5.5,IF(S149&gt;=4.5,1,0),0)</f>
        <v>0</v>
      </c>
      <c r="BB126" s="55">
        <f>IF(S149&lt;6.5,IF(S149&gt;=5.5,1,0),0)</f>
        <v>0</v>
      </c>
      <c r="BC126" s="55">
        <f>IF(S149&lt;7.5,IF(S149&gt;=6.5,1,0),0)</f>
        <v>0</v>
      </c>
      <c r="BD126" s="55">
        <f>IF(S149&lt;8.5,IF(S149&gt;=7.5,1,0),0)</f>
        <v>1</v>
      </c>
      <c r="BE126" s="55">
        <f>IF(S149&lt;9.5,IF(S149&gt;=8.5,1,0),0)</f>
        <v>0</v>
      </c>
      <c r="BF126" s="55">
        <f>IF(S149&lt;10.5,IF(S149&gt;=9.5,1,0),0)</f>
        <v>0</v>
      </c>
      <c r="BG126" s="55">
        <f>IF(S149&lt;11.5,IF(S149&gt;=10.5,1,0),0)</f>
        <v>0</v>
      </c>
      <c r="BH126" s="55">
        <f>IF(S149&lt;12.5,IF(S149&gt;=11.5,1,0),0)</f>
        <v>0</v>
      </c>
      <c r="BI126" s="55">
        <f>IF(S149&lt;13.5,IF(S149&gt;=12.5,1,0),0)</f>
        <v>0</v>
      </c>
      <c r="BJ126" s="55">
        <f>IF(S149&lt;14.5,IF(S149&gt;=13.5,1,0),0)</f>
        <v>0</v>
      </c>
      <c r="BK126" s="55">
        <f>IF(S149&lt;15.5,IF(S149&gt;=14.5,1,0),0)</f>
        <v>0</v>
      </c>
      <c r="BL126" s="55">
        <f>IF(S149&lt;16.5,IF(S149&gt;=15.5,1,0),0)</f>
        <v>0</v>
      </c>
      <c r="BM126" s="55">
        <f>IF(S149&lt;17.5,IF(S149&gt;=16.5,1,0),0)</f>
        <v>0</v>
      </c>
      <c r="BN126" s="55">
        <f>IF(S149&lt;18.5,IF(S149&gt;=17.5,1,0),0)</f>
        <v>0</v>
      </c>
      <c r="BO126" s="55">
        <f>IF(S149&lt;19.5,IF(S149&gt;=18.5,1,0),0)</f>
        <v>0</v>
      </c>
      <c r="BP126" s="55">
        <f>IF(S149&gt;=19.5,1,0)</f>
        <v>0</v>
      </c>
      <c r="BU126" s="7"/>
      <c r="BW126" s="28" t="s">
        <v>91</v>
      </c>
      <c r="BX126" s="26"/>
      <c r="BY126" s="73">
        <f>IF($Q$178&gt;=-0.875,IF($Q$178&lt;-0.735,1,0),0)</f>
        <v>0</v>
      </c>
      <c r="BZ126" s="73"/>
      <c r="CA126" s="73">
        <f>IF($R$178&gt;=-0.875,IF($R$178&lt;-0.735,1,0),0)</f>
        <v>0</v>
      </c>
      <c r="CB126" s="73"/>
      <c r="CC126" s="73">
        <f>IF($S$178&gt;=-0.875,IF($S$178&lt;-0.735,1,0),0)</f>
        <v>0</v>
      </c>
      <c r="CD126" s="26"/>
      <c r="CE126" s="1"/>
      <c r="CF126" s="1"/>
      <c r="CG126" s="1"/>
      <c r="CH126" s="1"/>
      <c r="CI126" s="55" t="s">
        <v>1</v>
      </c>
      <c r="DJ126" s="369" t="s">
        <v>864</v>
      </c>
      <c r="DK126" s="461" t="s">
        <v>865</v>
      </c>
      <c r="DL126" s="369" t="s">
        <v>857</v>
      </c>
      <c r="DM126" s="369" t="s">
        <v>858</v>
      </c>
      <c r="DN126" s="369" t="s">
        <v>859</v>
      </c>
      <c r="DO126" s="462" t="s">
        <v>64</v>
      </c>
      <c r="DQ126" s="58" t="s">
        <v>231</v>
      </c>
    </row>
    <row r="127" spans="2:121" ht="19.5" customHeight="1">
      <c r="B127" s="110" t="s">
        <v>336</v>
      </c>
      <c r="C127" s="115"/>
      <c r="D127" s="65"/>
      <c r="E127" s="357">
        <v>4</v>
      </c>
      <c r="F127" s="501">
        <v>109983.04</v>
      </c>
      <c r="G127" s="501">
        <v>88018.07</v>
      </c>
      <c r="H127" s="501">
        <v>12712</v>
      </c>
      <c r="M127" s="58" t="s">
        <v>231</v>
      </c>
      <c r="N127" s="55" t="s">
        <v>1</v>
      </c>
      <c r="O127" s="55">
        <v>6</v>
      </c>
      <c r="Q127" s="2">
        <f aca="true" t="shared" si="113" ref="Q127:Q136">IF($R$11=1,F128,IF($R$11=2,F148,IF($R$11=3,F168,F188)))</f>
        <v>59.72</v>
      </c>
      <c r="R127" s="2">
        <f aca="true" t="shared" si="114" ref="R127:R136">IF($R$11=1,G128,IF($R$11=2,G148,IF($R$11=3,G168,G188)))</f>
        <v>69.46</v>
      </c>
      <c r="S127" s="33">
        <f t="shared" si="112"/>
        <v>12885</v>
      </c>
      <c r="U127" s="55" t="s">
        <v>1</v>
      </c>
      <c r="W127" s="55" t="s">
        <v>1</v>
      </c>
      <c r="Z127" s="55" t="s">
        <v>288</v>
      </c>
      <c r="AB127" s="55">
        <f>IF(R149&lt;=-19.5,1,0)</f>
        <v>0</v>
      </c>
      <c r="AC127" s="55">
        <f>IF(R149&lt;=-18.5,IF(R149&gt;-19.5,1,0),0)</f>
        <v>0</v>
      </c>
      <c r="AD127" s="55">
        <f>IF(R149&lt;=-17.5,IF(R149&gt;-18.5,1,0),0)</f>
        <v>0</v>
      </c>
      <c r="AE127" s="55">
        <f>IF(R149&lt;=-16.5,IF(R149&gt;-17.5,1,0),0)</f>
        <v>0</v>
      </c>
      <c r="AF127" s="55">
        <f>IF(R149&lt;=-15.5,IF(R149&gt;-16.5,1,0),0)</f>
        <v>0</v>
      </c>
      <c r="AG127" s="55">
        <f>IF(R149&lt;=-14.5,IF(R149&gt;-15.5,1,0),0)</f>
        <v>0</v>
      </c>
      <c r="AH127" s="55">
        <f>IF(R149&lt;=-13.5,IF(R149&gt;-14.5,1,0),0)</f>
        <v>0</v>
      </c>
      <c r="AI127" s="55">
        <f>IF(R149&lt;=-12.5,IF(R149&gt;-13.5,1,0),0)</f>
        <v>0</v>
      </c>
      <c r="AJ127" s="55">
        <f>IF(R149&lt;=-11.5,IF(R149&gt;-12.5,1,0),0)</f>
        <v>0</v>
      </c>
      <c r="AK127" s="55">
        <f>IF(R149&lt;=-10.5,IF(R149&gt;-11.5,1,0),0)</f>
        <v>0</v>
      </c>
      <c r="AL127" s="55">
        <f>IF(R149&lt;=-9.5,IF(R149&gt;-10.5,1,0),0)</f>
        <v>0</v>
      </c>
      <c r="AM127" s="55">
        <f>IF(R149&lt;=-8.5,IF(R149&gt;-9.5,1,0),0)</f>
        <v>0</v>
      </c>
      <c r="AN127" s="55">
        <f>IF(R149&lt;=-7.5,IF(R149&gt;-8.5,1,0),0)</f>
        <v>0</v>
      </c>
      <c r="AO127" s="55">
        <f>IF(R149&lt;=-6.5,IF(R149&gt;-7.5,1,0),0)</f>
        <v>0</v>
      </c>
      <c r="AP127" s="55">
        <f>IF(R149&lt;=-5.5,IF(R149&gt;-6.5,1,0),0)</f>
        <v>0</v>
      </c>
      <c r="AQ127" s="55">
        <f>IF(R149&lt;=-4.5,IF(R149&gt;-5.5,1,0),0)</f>
        <v>0</v>
      </c>
      <c r="AR127" s="55">
        <f>IF(R149&lt;=-3.5,IF(R149&gt;-4.5,1,0),0)</f>
        <v>0</v>
      </c>
      <c r="AS127" s="55">
        <f>IF(R149&lt;=-2.5,IF(R149&gt;-3.5,1,0),0)</f>
        <v>0</v>
      </c>
      <c r="AT127" s="55">
        <f>IF(R149&lt;=-1.5,IF(R149&gt;-2.5,1,0),0)</f>
        <v>0</v>
      </c>
      <c r="AU127" s="55">
        <f>IF(R149&lt;=-0.5,IF(R149&gt;-1.5,1,0),0)</f>
        <v>0</v>
      </c>
      <c r="AV127" s="55">
        <f>IF(R149&lt;0.5,IF(R149&gt;-0.5,1,0),0)</f>
        <v>0</v>
      </c>
      <c r="AW127" s="55">
        <f>IF(R149&lt;1.5,IF(R149&gt;=0.5,1,0),0)</f>
        <v>0</v>
      </c>
      <c r="AX127" s="55">
        <f>IF(R149&lt;2.5,IF(R149&gt;=1.5,1,0),0)</f>
        <v>0</v>
      </c>
      <c r="AY127" s="55">
        <f>IF(R149&lt;3.5,IF(R149&gt;=2.5,1,0),0)</f>
        <v>0</v>
      </c>
      <c r="AZ127" s="55">
        <f>IF(R149&lt;4.5,IF(R149&gt;=3.5,1,0),0)</f>
        <v>1</v>
      </c>
      <c r="BA127" s="55">
        <f>IF(R149&lt;5.5,IF(R149&gt;=4.5,1,0),0)</f>
        <v>0</v>
      </c>
      <c r="BB127" s="55">
        <f>IF(R149&lt;6.5,IF(R149&gt;=5.5,1,0),0)</f>
        <v>0</v>
      </c>
      <c r="BC127" s="55">
        <f>IF(R149&lt;7.5,IF(R149&gt;=6.5,1,0),0)</f>
        <v>0</v>
      </c>
      <c r="BD127" s="55">
        <f>IF(R149&lt;8.5,IF(R149&gt;=7.5,1,0),0)</f>
        <v>0</v>
      </c>
      <c r="BE127" s="55">
        <f>IF(R149&lt;9.5,IF(R149&gt;=8.5,1,0),0)</f>
        <v>0</v>
      </c>
      <c r="BF127" s="55">
        <f>IF(R149&lt;10.5,IF(R149&gt;=9.5,1,0),0)</f>
        <v>0</v>
      </c>
      <c r="BG127" s="55">
        <f>IF(R149&lt;11.5,IF(R149&gt;=10.5,1,0),0)</f>
        <v>0</v>
      </c>
      <c r="BH127" s="55">
        <f>IF(R149&lt;12.5,IF(R149&gt;=11.5,1,0),0)</f>
        <v>0</v>
      </c>
      <c r="BI127" s="55">
        <f>IF(R149&lt;13.5,IF(R149&gt;=12.5,1,0),0)</f>
        <v>0</v>
      </c>
      <c r="BJ127" s="55">
        <f>IF(R149&lt;14.5,IF(R149&gt;=13.5,1,0),0)</f>
        <v>0</v>
      </c>
      <c r="BK127" s="55">
        <f>IF(R149&lt;15.5,IF(R149&gt;=14.5,1,0),0)</f>
        <v>0</v>
      </c>
      <c r="BL127" s="55">
        <f>IF(R149&lt;16.5,IF(R149&gt;=15.5,1,0),0)</f>
        <v>0</v>
      </c>
      <c r="BM127" s="55">
        <f>IF(R149&lt;17.5,IF(R149&gt;=16.5,1,0),0)</f>
        <v>0</v>
      </c>
      <c r="BN127" s="55">
        <f>IF(R149&lt;18.5,IF(R149&gt;=17.5,1,0),0)</f>
        <v>0</v>
      </c>
      <c r="BO127" s="55">
        <f>IF(R149&lt;19.5,IF(R149&gt;=18.5,1,0),0)</f>
        <v>0</v>
      </c>
      <c r="BP127" s="55">
        <f>IF(R149&gt;=19.5,1,0)</f>
        <v>0</v>
      </c>
      <c r="BU127" s="7"/>
      <c r="BW127" s="28"/>
      <c r="BX127" s="26"/>
      <c r="BY127" s="73">
        <f>IF($Q$178&gt;=-1.005,IF($Q$178&lt;-0.875,1,0),0)</f>
        <v>0</v>
      </c>
      <c r="BZ127" s="73"/>
      <c r="CA127" s="73">
        <f>IF($R$178&gt;=-1.005,IF($R$178&lt;-0.875,1,0),0)</f>
        <v>0</v>
      </c>
      <c r="CB127" s="73"/>
      <c r="CC127" s="73">
        <f>IF($S$178&gt;=-1.005,IF($S$178&lt;-0.875,1,0),0)</f>
        <v>0</v>
      </c>
      <c r="CD127" s="26"/>
      <c r="CE127" s="48" t="s">
        <v>306</v>
      </c>
      <c r="CF127" s="1"/>
      <c r="CG127" s="1"/>
      <c r="CH127" s="1"/>
      <c r="CI127" s="55" t="s">
        <v>1</v>
      </c>
      <c r="DJ127" s="369" t="s">
        <v>866</v>
      </c>
      <c r="DK127" s="461" t="s">
        <v>867</v>
      </c>
      <c r="DL127" s="369" t="s">
        <v>857</v>
      </c>
      <c r="DM127" s="369" t="s">
        <v>858</v>
      </c>
      <c r="DN127" s="369" t="s">
        <v>859</v>
      </c>
      <c r="DO127" s="462" t="s">
        <v>64</v>
      </c>
      <c r="DQ127" s="58" t="s">
        <v>231</v>
      </c>
    </row>
    <row r="128" spans="2:121" ht="19.5" customHeight="1">
      <c r="B128" s="110" t="s">
        <v>236</v>
      </c>
      <c r="C128" s="115"/>
      <c r="D128" s="65"/>
      <c r="E128" s="357">
        <v>6</v>
      </c>
      <c r="F128" s="500">
        <v>59.72</v>
      </c>
      <c r="G128" s="500">
        <v>69.46</v>
      </c>
      <c r="H128" s="501">
        <v>12885</v>
      </c>
      <c r="M128" s="58" t="s">
        <v>231</v>
      </c>
      <c r="N128" s="55" t="s">
        <v>1</v>
      </c>
      <c r="O128" s="55">
        <v>7</v>
      </c>
      <c r="Q128" s="2">
        <f t="shared" si="113"/>
        <v>22.74</v>
      </c>
      <c r="R128" s="2">
        <f t="shared" si="114"/>
        <v>10.94</v>
      </c>
      <c r="S128" s="33">
        <f t="shared" si="112"/>
        <v>14356</v>
      </c>
      <c r="U128" s="55" t="s">
        <v>1</v>
      </c>
      <c r="W128" s="55" t="s">
        <v>1</v>
      </c>
      <c r="Z128" s="55" t="s">
        <v>287</v>
      </c>
      <c r="AB128" s="55">
        <f>IF(Q149&lt;=-19.5,1,0)</f>
        <v>0</v>
      </c>
      <c r="AC128" s="55">
        <f>IF(Q149&lt;=-18.5,IF(Q149&gt;-19.5,1,0),0)</f>
        <v>0</v>
      </c>
      <c r="AD128" s="55">
        <f>IF(Q149&lt;=-17.5,IF(Q149&gt;-18.5,1,0),0)</f>
        <v>0</v>
      </c>
      <c r="AE128" s="55">
        <f>IF(Q149&lt;=-16.5,IF(Q149&gt;-17.5,1,0),0)</f>
        <v>0</v>
      </c>
      <c r="AF128" s="55">
        <f>IF(Q149&lt;=-15.5,IF(Q149&gt;-16.5,1,0),0)</f>
        <v>0</v>
      </c>
      <c r="AG128" s="55">
        <f>IF(Q149&lt;=-14.5,IF(Q149&gt;-15.5,1,0),0)</f>
        <v>0</v>
      </c>
      <c r="AH128" s="55">
        <f>IF(Q149&lt;=-13.5,IF(Q149&gt;-14.5,1,0),0)</f>
        <v>0</v>
      </c>
      <c r="AI128" s="55">
        <f>IF(Q149&lt;=-12.5,IF(Q149&gt;-13.5,1,0),0)</f>
        <v>1</v>
      </c>
      <c r="AJ128" s="55">
        <f>IF(Q149&lt;=-11.5,IF(Q149&gt;-12.5,1,0),0)</f>
        <v>0</v>
      </c>
      <c r="AK128" s="55">
        <f>IF(Q149&lt;=-10.5,IF(Q149&gt;-11.5,1,0),0)</f>
        <v>0</v>
      </c>
      <c r="AL128" s="55">
        <f>IF(Q149&lt;=-9.5,IF(Q149&gt;-10.5,1,0),0)</f>
        <v>0</v>
      </c>
      <c r="AM128" s="55">
        <f>IF(Q149&lt;=-8.5,IF(Q149&gt;-9.5,1,0),0)</f>
        <v>0</v>
      </c>
      <c r="AN128" s="55">
        <f>IF(Q149&lt;=-7.5,IF(Q149&gt;-8.5,1,0),0)</f>
        <v>0</v>
      </c>
      <c r="AO128" s="55">
        <f>IF(Q149&lt;=-6.5,IF(Q149&gt;-7.5,1,0),0)</f>
        <v>0</v>
      </c>
      <c r="AP128" s="55">
        <f>IF(Q149&lt;=-5.5,IF(Q149&gt;-6.5,1,0),0)</f>
        <v>0</v>
      </c>
      <c r="AQ128" s="55">
        <f>IF(Q149&lt;=-4.5,IF(Q149&gt;-5.5,1,0),0)</f>
        <v>0</v>
      </c>
      <c r="AR128" s="55">
        <f>IF(Q149&lt;=-3.5,IF(Q149&gt;-4.5,1,0),0)</f>
        <v>0</v>
      </c>
      <c r="AS128" s="55">
        <f>IF(Q149&lt;=-2.5,IF(Q149&gt;-3.5,1,0),0)</f>
        <v>0</v>
      </c>
      <c r="AT128" s="55">
        <f>IF(Q149&lt;=-1.5,IF(Q149&gt;-2.5,1,0),0)</f>
        <v>0</v>
      </c>
      <c r="AU128" s="55">
        <f>IF(Q149&lt;=-0.5,IF(Q149&gt;-1.5,1,0),0)</f>
        <v>0</v>
      </c>
      <c r="AV128" s="55">
        <f>IF(Q149&lt;0.5,IF(Q149&gt;-0.5,1,0),0)</f>
        <v>0</v>
      </c>
      <c r="AW128" s="55">
        <f>IF(Q149&lt;1.5,IF(Q149&gt;=0.5,1,0),0)</f>
        <v>0</v>
      </c>
      <c r="AX128" s="55">
        <f>IF(Q149&lt;2.5,IF(Q149&gt;=1.5,1,0),0)</f>
        <v>0</v>
      </c>
      <c r="AY128" s="55">
        <f>IF(Q149&lt;3.5,IF(Q149&gt;=2.5,1,0),0)</f>
        <v>0</v>
      </c>
      <c r="AZ128" s="55">
        <f>IF(Q149&lt;4.5,IF(Q149&gt;=3.5,1,0),0)</f>
        <v>0</v>
      </c>
      <c r="BA128" s="55">
        <f>IF(Q149&lt;5.5,IF(Q149&gt;=4.5,1,0),0)</f>
        <v>0</v>
      </c>
      <c r="BB128" s="55">
        <f>IF(Q149&lt;6.5,IF(Q149&gt;=5.5,1,0),0)</f>
        <v>0</v>
      </c>
      <c r="BC128" s="55">
        <f>IF(Q149&lt;7.5,IF(Q149&gt;=6.5,1,0),0)</f>
        <v>0</v>
      </c>
      <c r="BD128" s="55">
        <f>IF(Q149&lt;8.5,IF(Q149&gt;=7.5,1,0),0)</f>
        <v>0</v>
      </c>
      <c r="BE128" s="55">
        <f>IF(Q149&lt;9.5,IF(Q149&gt;=8.5,1,0),0)</f>
        <v>0</v>
      </c>
      <c r="BF128" s="55">
        <f>IF(Q149&lt;10.5,IF(Q149&gt;=9.5,1,0),0)</f>
        <v>0</v>
      </c>
      <c r="BG128" s="55">
        <f>IF(Q149&lt;11.5,IF(Q149&gt;=10.5,1,0),0)</f>
        <v>0</v>
      </c>
      <c r="BH128" s="55">
        <f>IF(Q149&lt;12.5,IF(Q149&gt;=11.5,1,0),0)</f>
        <v>0</v>
      </c>
      <c r="BI128" s="55">
        <f>IF(Q149&lt;13.5,IF(Q149&gt;=12.5,1,0),0)</f>
        <v>0</v>
      </c>
      <c r="BJ128" s="55">
        <f>IF(Q149&lt;14.5,IF(Q149&gt;=13.5,1,0),0)</f>
        <v>0</v>
      </c>
      <c r="BK128" s="55">
        <f>IF(Q149&lt;15.5,IF(Q149&gt;=14.5,1,0),0)</f>
        <v>0</v>
      </c>
      <c r="BL128" s="55">
        <f>IF(Q149&lt;16.5,IF(Q149&gt;=15.5,1,0),0)</f>
        <v>0</v>
      </c>
      <c r="BM128" s="55">
        <f>IF(Q149&lt;17.5,IF(Q149&gt;=16.5,1,0),0)</f>
        <v>0</v>
      </c>
      <c r="BN128" s="55">
        <f>IF(Q149&lt;18.5,IF(Q149&gt;=17.5,1,0),0)</f>
        <v>0</v>
      </c>
      <c r="BO128" s="55">
        <f>IF(Q149&lt;19.5,IF(Q149&gt;=18.5,1,0),0)</f>
        <v>0</v>
      </c>
      <c r="BP128" s="55">
        <f>IF(Q149&gt;=19.5,1,0)</f>
        <v>0</v>
      </c>
      <c r="BU128" s="7"/>
      <c r="BV128" s="1"/>
      <c r="BW128" s="28" t="s">
        <v>94</v>
      </c>
      <c r="BX128" s="26"/>
      <c r="BY128" s="73">
        <f>IF($Q$178&gt;=-1.665,IF($Q$178&lt;-1.005,1,0),0)</f>
        <v>0</v>
      </c>
      <c r="BZ128" s="73"/>
      <c r="CA128" s="73">
        <f>IF($R$178&gt;=-1.665,IF($R$178&lt;-1.005,1,0),0)</f>
        <v>0</v>
      </c>
      <c r="CB128" s="73"/>
      <c r="CC128" s="73">
        <f>IF($S$178&gt;=-1.665,IF($S$178&lt;-1.005,1,0),0)</f>
        <v>0</v>
      </c>
      <c r="CD128" s="26"/>
      <c r="CE128" s="1"/>
      <c r="CF128" s="1"/>
      <c r="CG128" s="1"/>
      <c r="CH128" s="1"/>
      <c r="CI128" s="55" t="s">
        <v>1</v>
      </c>
      <c r="DJ128" s="369" t="s">
        <v>868</v>
      </c>
      <c r="DK128" s="461" t="s">
        <v>869</v>
      </c>
      <c r="DL128" s="369" t="s">
        <v>857</v>
      </c>
      <c r="DM128" s="369" t="s">
        <v>858</v>
      </c>
      <c r="DN128" s="369" t="s">
        <v>859</v>
      </c>
      <c r="DO128" s="462" t="s">
        <v>64</v>
      </c>
      <c r="DQ128" s="58" t="s">
        <v>231</v>
      </c>
    </row>
    <row r="129" spans="2:121" ht="19.5" customHeight="1">
      <c r="B129" s="110" t="s">
        <v>445</v>
      </c>
      <c r="E129" s="358">
        <v>7</v>
      </c>
      <c r="F129" s="498">
        <v>22.74</v>
      </c>
      <c r="G129" s="498">
        <v>10.94</v>
      </c>
      <c r="H129" s="499">
        <v>14356</v>
      </c>
      <c r="M129" s="58" t="s">
        <v>231</v>
      </c>
      <c r="N129" s="55" t="s">
        <v>1</v>
      </c>
      <c r="O129" s="55">
        <v>8</v>
      </c>
      <c r="Q129" s="2">
        <f t="shared" si="113"/>
        <v>8.78</v>
      </c>
      <c r="R129" s="2">
        <f t="shared" si="114"/>
        <v>1.91</v>
      </c>
      <c r="S129" s="33">
        <f t="shared" si="112"/>
        <v>13708</v>
      </c>
      <c r="U129" s="55" t="s">
        <v>1</v>
      </c>
      <c r="W129" s="55" t="s">
        <v>1</v>
      </c>
      <c r="BU129" s="7"/>
      <c r="BV129" s="1"/>
      <c r="BW129" s="28"/>
      <c r="BX129" s="26"/>
      <c r="BY129" s="73">
        <f>IF($Q$178&gt;=-2.315,IF($Q$178&lt;-1.665,1,0),0)</f>
        <v>0</v>
      </c>
      <c r="BZ129" s="73"/>
      <c r="CA129" s="73">
        <f>IF($R$178&gt;=-2.315,IF($R$178&lt;-1.665,1,0),0)</f>
        <v>0</v>
      </c>
      <c r="CB129" s="73"/>
      <c r="CC129" s="73">
        <f>IF($S$178&gt;=-2.315,IF($S$178&lt;-1.665,1,0),0)</f>
        <v>0</v>
      </c>
      <c r="CD129" s="26"/>
      <c r="CE129" s="48" t="s">
        <v>307</v>
      </c>
      <c r="CF129" s="1"/>
      <c r="CG129" s="1"/>
      <c r="CH129" s="1"/>
      <c r="CI129" s="55" t="s">
        <v>1</v>
      </c>
      <c r="DJ129" s="369" t="s">
        <v>870</v>
      </c>
      <c r="DK129" s="461" t="s">
        <v>871</v>
      </c>
      <c r="DL129" s="369" t="s">
        <v>857</v>
      </c>
      <c r="DM129" s="369" t="s">
        <v>858</v>
      </c>
      <c r="DN129" s="369" t="s">
        <v>859</v>
      </c>
      <c r="DO129" s="462" t="s">
        <v>64</v>
      </c>
      <c r="DQ129" s="58" t="s">
        <v>231</v>
      </c>
    </row>
    <row r="130" spans="2:121" ht="19.5" customHeight="1">
      <c r="B130" s="110" t="s">
        <v>237</v>
      </c>
      <c r="C130" s="115"/>
      <c r="D130" s="65"/>
      <c r="E130" s="357">
        <v>8</v>
      </c>
      <c r="F130" s="500">
        <v>8.78</v>
      </c>
      <c r="G130" s="500">
        <v>1.91</v>
      </c>
      <c r="H130" s="501">
        <v>13708</v>
      </c>
      <c r="M130" s="58" t="s">
        <v>231</v>
      </c>
      <c r="N130" s="55" t="s">
        <v>1</v>
      </c>
      <c r="O130" s="55">
        <v>9</v>
      </c>
      <c r="Q130" s="2">
        <f t="shared" si="113"/>
        <v>3.35</v>
      </c>
      <c r="R130" s="2">
        <f t="shared" si="114"/>
        <v>5.74</v>
      </c>
      <c r="S130" s="33">
        <f t="shared" si="112"/>
        <v>17032</v>
      </c>
      <c r="U130" s="55" t="s">
        <v>1</v>
      </c>
      <c r="W130" s="55" t="s">
        <v>1</v>
      </c>
      <c r="BU130" s="7"/>
      <c r="BV130" s="1"/>
      <c r="BW130" s="28" t="s">
        <v>96</v>
      </c>
      <c r="BX130" s="26"/>
      <c r="BY130" s="73">
        <f>IF($Q$178&gt;=-2.975,IF($Q$178&lt;-2.315,1,0),0)</f>
        <v>0</v>
      </c>
      <c r="BZ130" s="73"/>
      <c r="CA130" s="73">
        <f>IF($R$178&gt;=-2.975,IF($R$178&lt;-2.315,1,0),0)</f>
        <v>0</v>
      </c>
      <c r="CB130" s="73"/>
      <c r="CC130" s="73">
        <f>IF($S$178&gt;=-2.975,IF($S$178&lt;-2.315,1,0),0)</f>
        <v>0</v>
      </c>
      <c r="CD130" s="26"/>
      <c r="CE130" s="1"/>
      <c r="CF130" s="1"/>
      <c r="CG130" s="1"/>
      <c r="CH130" s="1"/>
      <c r="CI130" s="55" t="s">
        <v>1</v>
      </c>
      <c r="DJ130" s="369" t="s">
        <v>872</v>
      </c>
      <c r="DK130" s="461" t="s">
        <v>873</v>
      </c>
      <c r="DL130" s="369" t="s">
        <v>857</v>
      </c>
      <c r="DM130" s="369" t="s">
        <v>874</v>
      </c>
      <c r="DN130" s="369" t="s">
        <v>875</v>
      </c>
      <c r="DO130" s="462" t="s">
        <v>876</v>
      </c>
      <c r="DQ130" s="58" t="s">
        <v>231</v>
      </c>
    </row>
    <row r="131" spans="2:121" ht="19.5" customHeight="1">
      <c r="B131" s="110" t="s">
        <v>480</v>
      </c>
      <c r="C131" s="115"/>
      <c r="D131" s="65"/>
      <c r="E131" s="357">
        <v>9</v>
      </c>
      <c r="F131" s="500">
        <v>3.35</v>
      </c>
      <c r="G131" s="500">
        <v>5.74</v>
      </c>
      <c r="H131" s="501">
        <v>17032</v>
      </c>
      <c r="M131" s="58" t="s">
        <v>231</v>
      </c>
      <c r="N131" s="55" t="s">
        <v>1</v>
      </c>
      <c r="O131" s="55">
        <v>10</v>
      </c>
      <c r="Q131" s="2">
        <f t="shared" si="113"/>
        <v>9.43</v>
      </c>
      <c r="R131" s="2">
        <f t="shared" si="114"/>
        <v>13.72</v>
      </c>
      <c r="S131" s="33">
        <f t="shared" si="112"/>
        <v>17076</v>
      </c>
      <c r="U131" s="55" t="s">
        <v>1</v>
      </c>
      <c r="W131" s="55" t="s">
        <v>1</v>
      </c>
      <c r="BU131" s="7"/>
      <c r="BV131" s="1"/>
      <c r="BW131" s="28"/>
      <c r="BX131" s="26"/>
      <c r="BY131" s="73">
        <f>IF($Q$178&gt;=-3.625,IF($Q$178&lt;-2.975,1,0),0)</f>
        <v>0</v>
      </c>
      <c r="BZ131" s="73"/>
      <c r="CA131" s="73">
        <f>IF($R$178&gt;=-3.625,IF($R$178&lt;-2.975,1,0),0)</f>
        <v>0</v>
      </c>
      <c r="CB131" s="73"/>
      <c r="CC131" s="73">
        <f>IF($S$178&gt;=-3.625,IF($S$178&lt;-2.975,1,0),0)</f>
        <v>0</v>
      </c>
      <c r="CD131" s="26"/>
      <c r="CE131" s="48" t="s">
        <v>308</v>
      </c>
      <c r="CF131" s="1"/>
      <c r="CG131" s="1"/>
      <c r="CH131" s="1"/>
      <c r="CI131" s="55" t="s">
        <v>1</v>
      </c>
      <c r="DJ131" s="369" t="s">
        <v>877</v>
      </c>
      <c r="DK131" s="461" t="s">
        <v>878</v>
      </c>
      <c r="DL131" s="369" t="s">
        <v>857</v>
      </c>
      <c r="DM131" s="369" t="s">
        <v>874</v>
      </c>
      <c r="DN131" s="369" t="s">
        <v>875</v>
      </c>
      <c r="DO131" s="462" t="s">
        <v>876</v>
      </c>
      <c r="DQ131" s="58" t="s">
        <v>231</v>
      </c>
    </row>
    <row r="132" spans="2:121" ht="19.5" customHeight="1">
      <c r="B132" s="110" t="s">
        <v>238</v>
      </c>
      <c r="C132" s="115"/>
      <c r="D132" s="65"/>
      <c r="E132" s="357">
        <v>10</v>
      </c>
      <c r="F132" s="500">
        <v>9.43</v>
      </c>
      <c r="G132" s="500">
        <v>13.72</v>
      </c>
      <c r="H132" s="501">
        <v>17076</v>
      </c>
      <c r="M132" s="58" t="s">
        <v>231</v>
      </c>
      <c r="N132" s="55" t="s">
        <v>1</v>
      </c>
      <c r="O132" s="55">
        <v>12</v>
      </c>
      <c r="Q132" s="2">
        <f t="shared" si="113"/>
        <v>2.65</v>
      </c>
      <c r="R132" s="2">
        <f t="shared" si="114"/>
        <v>3.31</v>
      </c>
      <c r="S132" s="33">
        <f t="shared" si="112"/>
        <v>18305</v>
      </c>
      <c r="U132" s="55" t="s">
        <v>1</v>
      </c>
      <c r="W132" s="55" t="s">
        <v>1</v>
      </c>
      <c r="BU132" s="7"/>
      <c r="BV132" s="1"/>
      <c r="BW132" s="28" t="s">
        <v>101</v>
      </c>
      <c r="BX132" s="26"/>
      <c r="BY132" s="73">
        <f>IF($Q$178&gt;=-3.955,IF($Q$178&lt;-3.625,1,0),0)</f>
        <v>0</v>
      </c>
      <c r="BZ132" s="73"/>
      <c r="CA132" s="73">
        <f>IF($R$178&gt;=-3.955,IF($R$178&lt;-3.625,1,0),0)</f>
        <v>0</v>
      </c>
      <c r="CB132" s="73"/>
      <c r="CC132" s="73">
        <f>IF($S$178&gt;=-3.955,IF($S$178&lt;-3.625,1,0),0)</f>
        <v>0</v>
      </c>
      <c r="CD132" s="26"/>
      <c r="CE132" s="1"/>
      <c r="CF132" s="1"/>
      <c r="CG132" s="1"/>
      <c r="CH132" s="1"/>
      <c r="CI132" s="55" t="s">
        <v>1</v>
      </c>
      <c r="DJ132" s="369" t="s">
        <v>879</v>
      </c>
      <c r="DK132" s="461" t="s">
        <v>880</v>
      </c>
      <c r="DL132" s="369" t="s">
        <v>857</v>
      </c>
      <c r="DM132" s="369" t="s">
        <v>874</v>
      </c>
      <c r="DN132" s="369" t="s">
        <v>875</v>
      </c>
      <c r="DO132" s="462" t="s">
        <v>876</v>
      </c>
      <c r="DQ132" s="58" t="s">
        <v>231</v>
      </c>
    </row>
    <row r="133" spans="2:121" ht="19.5" customHeight="1">
      <c r="B133" s="110" t="s">
        <v>239</v>
      </c>
      <c r="C133" s="115"/>
      <c r="D133" s="65"/>
      <c r="E133" s="357">
        <v>12</v>
      </c>
      <c r="F133" s="500">
        <v>2.65</v>
      </c>
      <c r="G133" s="500">
        <v>3.31</v>
      </c>
      <c r="H133" s="501">
        <v>18305</v>
      </c>
      <c r="M133" s="58" t="s">
        <v>231</v>
      </c>
      <c r="N133" s="55" t="s">
        <v>1</v>
      </c>
      <c r="O133" s="55">
        <v>13</v>
      </c>
      <c r="Q133" s="422">
        <f t="shared" si="113"/>
        <v>1.28</v>
      </c>
      <c r="R133" s="422">
        <f t="shared" si="114"/>
        <v>1.37</v>
      </c>
      <c r="S133" s="33">
        <f t="shared" si="112"/>
        <v>18236</v>
      </c>
      <c r="U133" s="55" t="s">
        <v>1</v>
      </c>
      <c r="W133" s="55" t="s">
        <v>1</v>
      </c>
      <c r="BU133" s="7"/>
      <c r="BV133" s="1"/>
      <c r="BW133" s="60"/>
      <c r="BX133" s="26"/>
      <c r="BY133" s="73">
        <f>IF($Q$178&lt;-3.955,1,0)</f>
        <v>0</v>
      </c>
      <c r="BZ133" s="73"/>
      <c r="CA133" s="73">
        <f>IF($R$178&lt;-3.955,1,0)</f>
        <v>0</v>
      </c>
      <c r="CB133" s="73"/>
      <c r="CC133" s="73">
        <f>IF($S$178&lt;-3.955,1,0)</f>
        <v>0</v>
      </c>
      <c r="CD133" s="26"/>
      <c r="CE133" s="48" t="s">
        <v>309</v>
      </c>
      <c r="CF133" s="1"/>
      <c r="CG133" s="1"/>
      <c r="CH133" s="1"/>
      <c r="CI133" s="55" t="s">
        <v>1</v>
      </c>
      <c r="DJ133" s="369" t="s">
        <v>881</v>
      </c>
      <c r="DK133" s="461" t="s">
        <v>882</v>
      </c>
      <c r="DL133" s="369" t="s">
        <v>857</v>
      </c>
      <c r="DM133" s="369" t="s">
        <v>874</v>
      </c>
      <c r="DN133" s="369" t="s">
        <v>875</v>
      </c>
      <c r="DO133" s="462" t="s">
        <v>876</v>
      </c>
      <c r="DQ133" s="58" t="s">
        <v>231</v>
      </c>
    </row>
    <row r="134" spans="2:121" ht="19.5" customHeight="1">
      <c r="B134" s="110" t="s">
        <v>240</v>
      </c>
      <c r="C134" s="115"/>
      <c r="D134" s="65"/>
      <c r="E134" s="357">
        <v>13</v>
      </c>
      <c r="F134" s="502">
        <v>1.28</v>
      </c>
      <c r="G134" s="502">
        <v>1.37</v>
      </c>
      <c r="H134" s="501">
        <v>18236</v>
      </c>
      <c r="M134" s="58" t="s">
        <v>231</v>
      </c>
      <c r="N134" s="55" t="s">
        <v>1</v>
      </c>
      <c r="O134" s="55">
        <v>17</v>
      </c>
      <c r="Q134" s="33">
        <f t="shared" si="113"/>
        <v>58.39</v>
      </c>
      <c r="R134" s="33">
        <f t="shared" si="114"/>
        <v>47.07</v>
      </c>
      <c r="S134" s="33">
        <f t="shared" si="112"/>
        <v>17199</v>
      </c>
      <c r="U134" s="55" t="s">
        <v>1</v>
      </c>
      <c r="W134" s="55" t="s">
        <v>1</v>
      </c>
      <c r="BU134" s="7"/>
      <c r="BW134" s="1"/>
      <c r="BX134" s="1"/>
      <c r="CD134" s="1"/>
      <c r="CE134" s="1"/>
      <c r="CF134" s="1"/>
      <c r="CG134" s="1"/>
      <c r="CH134" s="1"/>
      <c r="CI134" s="55" t="s">
        <v>1</v>
      </c>
      <c r="DJ134" s="369" t="s">
        <v>883</v>
      </c>
      <c r="DK134" s="461" t="s">
        <v>884</v>
      </c>
      <c r="DL134" s="369" t="s">
        <v>857</v>
      </c>
      <c r="DM134" s="369" t="s">
        <v>885</v>
      </c>
      <c r="DN134" s="369" t="s">
        <v>886</v>
      </c>
      <c r="DO134" s="462" t="s">
        <v>887</v>
      </c>
      <c r="DQ134" s="58" t="s">
        <v>231</v>
      </c>
    </row>
    <row r="135" spans="2:121" ht="19.5" customHeight="1">
      <c r="B135" s="110" t="s">
        <v>2243</v>
      </c>
      <c r="C135" s="115"/>
      <c r="D135" s="65"/>
      <c r="E135" s="357">
        <v>17</v>
      </c>
      <c r="F135" s="503">
        <v>58.39</v>
      </c>
      <c r="G135" s="503">
        <v>47.07</v>
      </c>
      <c r="H135" s="501">
        <v>17199</v>
      </c>
      <c r="M135" s="58" t="s">
        <v>231</v>
      </c>
      <c r="N135" s="55" t="s">
        <v>1</v>
      </c>
      <c r="O135" s="55">
        <v>18</v>
      </c>
      <c r="Q135" s="33">
        <f t="shared" si="113"/>
        <v>69.86</v>
      </c>
      <c r="R135" s="33">
        <f t="shared" si="114"/>
        <v>55.84</v>
      </c>
      <c r="S135" s="33">
        <f t="shared" si="112"/>
        <v>18240</v>
      </c>
      <c r="U135" s="55" t="s">
        <v>1</v>
      </c>
      <c r="W135" s="55" t="s">
        <v>1</v>
      </c>
      <c r="X135" s="59" t="s">
        <v>0</v>
      </c>
      <c r="Y135" s="59" t="s">
        <v>0</v>
      </c>
      <c r="Z135" s="59" t="s">
        <v>0</v>
      </c>
      <c r="AA135" s="59" t="s">
        <v>0</v>
      </c>
      <c r="AB135" s="59" t="s">
        <v>0</v>
      </c>
      <c r="AC135" s="59" t="s">
        <v>0</v>
      </c>
      <c r="AD135" s="59" t="s">
        <v>0</v>
      </c>
      <c r="AE135" s="59" t="s">
        <v>0</v>
      </c>
      <c r="AF135" s="59" t="s">
        <v>0</v>
      </c>
      <c r="AG135" s="59" t="s">
        <v>0</v>
      </c>
      <c r="AH135" s="59" t="s">
        <v>0</v>
      </c>
      <c r="AI135" s="59" t="s">
        <v>0</v>
      </c>
      <c r="AJ135" s="59" t="s">
        <v>0</v>
      </c>
      <c r="AK135" s="59" t="s">
        <v>0</v>
      </c>
      <c r="AL135" s="59" t="s">
        <v>0</v>
      </c>
      <c r="AM135" s="59" t="s">
        <v>0</v>
      </c>
      <c r="AN135" s="59" t="s">
        <v>0</v>
      </c>
      <c r="AO135" s="59" t="s">
        <v>0</v>
      </c>
      <c r="AP135" s="59" t="s">
        <v>0</v>
      </c>
      <c r="AQ135" s="59" t="s">
        <v>0</v>
      </c>
      <c r="AR135" s="59" t="s">
        <v>0</v>
      </c>
      <c r="AS135" s="59" t="s">
        <v>0</v>
      </c>
      <c r="AT135" s="59" t="s">
        <v>0</v>
      </c>
      <c r="AU135" s="59" t="s">
        <v>0</v>
      </c>
      <c r="AV135" s="59" t="s">
        <v>0</v>
      </c>
      <c r="AW135" s="59" t="s">
        <v>0</v>
      </c>
      <c r="AX135" s="59" t="s">
        <v>0</v>
      </c>
      <c r="AY135" s="59" t="s">
        <v>0</v>
      </c>
      <c r="AZ135" s="59" t="s">
        <v>0</v>
      </c>
      <c r="BA135" s="59" t="s">
        <v>0</v>
      </c>
      <c r="BB135" s="59" t="s">
        <v>0</v>
      </c>
      <c r="BC135" s="59" t="s">
        <v>0</v>
      </c>
      <c r="BD135" s="59" t="s">
        <v>0</v>
      </c>
      <c r="BE135" s="59" t="s">
        <v>0</v>
      </c>
      <c r="BF135" s="59" t="s">
        <v>0</v>
      </c>
      <c r="BG135" s="59" t="s">
        <v>0</v>
      </c>
      <c r="BH135" s="59" t="s">
        <v>0</v>
      </c>
      <c r="BI135" s="59" t="s">
        <v>0</v>
      </c>
      <c r="BJ135" s="59" t="s">
        <v>0</v>
      </c>
      <c r="BK135" s="59" t="s">
        <v>0</v>
      </c>
      <c r="BL135" s="59" t="s">
        <v>0</v>
      </c>
      <c r="BM135" s="59" t="s">
        <v>0</v>
      </c>
      <c r="BN135" s="59" t="s">
        <v>0</v>
      </c>
      <c r="BO135" s="59" t="s">
        <v>0</v>
      </c>
      <c r="BP135" s="59" t="s">
        <v>0</v>
      </c>
      <c r="BQ135" s="59" t="s">
        <v>0</v>
      </c>
      <c r="BR135" s="59" t="s">
        <v>0</v>
      </c>
      <c r="BS135" s="59" t="s">
        <v>0</v>
      </c>
      <c r="BT135" s="59" t="s">
        <v>0</v>
      </c>
      <c r="BU135" s="59" t="s">
        <v>0</v>
      </c>
      <c r="BV135" s="59" t="s">
        <v>0</v>
      </c>
      <c r="BW135" s="59" t="s">
        <v>0</v>
      </c>
      <c r="BX135" s="59" t="s">
        <v>0</v>
      </c>
      <c r="BY135" s="59" t="s">
        <v>0</v>
      </c>
      <c r="BZ135" s="59" t="s">
        <v>0</v>
      </c>
      <c r="CA135" s="59" t="s">
        <v>0</v>
      </c>
      <c r="CB135" s="59" t="s">
        <v>0</v>
      </c>
      <c r="CC135" s="59" t="s">
        <v>0</v>
      </c>
      <c r="CD135" s="59" t="s">
        <v>0</v>
      </c>
      <c r="CE135" s="59" t="s">
        <v>0</v>
      </c>
      <c r="CF135" s="59" t="s">
        <v>0</v>
      </c>
      <c r="CG135" s="59" t="s">
        <v>0</v>
      </c>
      <c r="CH135" s="59" t="s">
        <v>0</v>
      </c>
      <c r="CI135" s="55" t="s">
        <v>1</v>
      </c>
      <c r="DJ135" s="369" t="s">
        <v>888</v>
      </c>
      <c r="DK135" s="461" t="s">
        <v>889</v>
      </c>
      <c r="DL135" s="369" t="s">
        <v>652</v>
      </c>
      <c r="DM135" s="369" t="s">
        <v>890</v>
      </c>
      <c r="DN135" s="369" t="s">
        <v>891</v>
      </c>
      <c r="DO135" s="462" t="s">
        <v>892</v>
      </c>
      <c r="DQ135" s="58" t="s">
        <v>231</v>
      </c>
    </row>
    <row r="136" spans="2:121" ht="19.5" customHeight="1">
      <c r="B136" s="110" t="s">
        <v>2244</v>
      </c>
      <c r="C136" s="115"/>
      <c r="D136" s="65"/>
      <c r="E136" s="357">
        <v>18</v>
      </c>
      <c r="F136" s="503">
        <v>69.86</v>
      </c>
      <c r="G136" s="503">
        <v>55.84</v>
      </c>
      <c r="H136" s="501">
        <v>18240</v>
      </c>
      <c r="M136" s="58" t="s">
        <v>231</v>
      </c>
      <c r="N136" s="55" t="s">
        <v>1</v>
      </c>
      <c r="O136" s="55">
        <v>19</v>
      </c>
      <c r="Q136" s="2">
        <f t="shared" si="113"/>
        <v>47.47</v>
      </c>
      <c r="R136" s="2">
        <f t="shared" si="114"/>
        <v>41.53</v>
      </c>
      <c r="S136" s="33">
        <f t="shared" si="112"/>
        <v>18308</v>
      </c>
      <c r="U136" s="55" t="s">
        <v>1</v>
      </c>
      <c r="W136" s="55" t="s">
        <v>1</v>
      </c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3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4"/>
      <c r="BE136" s="103"/>
      <c r="BF136" s="104"/>
      <c r="BG136" s="104"/>
      <c r="BH136" s="104"/>
      <c r="BI136" s="103"/>
      <c r="BJ136" s="104"/>
      <c r="BK136" s="104"/>
      <c r="BL136" s="104"/>
      <c r="BM136" s="103"/>
      <c r="BN136" s="102"/>
      <c r="BO136" s="7"/>
      <c r="BP136" s="7"/>
      <c r="BU136" s="7"/>
      <c r="BV136" s="1"/>
      <c r="BW136" s="1"/>
      <c r="BX136" s="1"/>
      <c r="CD136" s="1"/>
      <c r="CE136" s="1"/>
      <c r="CF136" s="1"/>
      <c r="CG136" s="1"/>
      <c r="CH136" s="1"/>
      <c r="CI136" s="55" t="s">
        <v>1</v>
      </c>
      <c r="DJ136" s="369" t="s">
        <v>893</v>
      </c>
      <c r="DK136" s="463" t="s">
        <v>894</v>
      </c>
      <c r="DL136" s="369" t="s">
        <v>652</v>
      </c>
      <c r="DM136" s="369" t="s">
        <v>890</v>
      </c>
      <c r="DN136" s="369" t="s">
        <v>891</v>
      </c>
      <c r="DO136" s="462" t="s">
        <v>892</v>
      </c>
      <c r="DQ136" s="58" t="s">
        <v>231</v>
      </c>
    </row>
    <row r="137" spans="2:121" ht="19.5" customHeight="1">
      <c r="B137" s="110" t="s">
        <v>241</v>
      </c>
      <c r="C137" s="115"/>
      <c r="D137" s="65"/>
      <c r="E137" s="357">
        <v>19</v>
      </c>
      <c r="F137" s="498">
        <v>47.47</v>
      </c>
      <c r="G137" s="500">
        <v>41.53</v>
      </c>
      <c r="H137" s="501">
        <v>18308</v>
      </c>
      <c r="M137" s="58" t="s">
        <v>231</v>
      </c>
      <c r="N137" s="55" t="s">
        <v>1</v>
      </c>
      <c r="O137" s="59" t="s">
        <v>0</v>
      </c>
      <c r="P137" s="59" t="s">
        <v>0</v>
      </c>
      <c r="Q137" s="59" t="s">
        <v>0</v>
      </c>
      <c r="R137" s="59" t="s">
        <v>0</v>
      </c>
      <c r="S137" s="59" t="s">
        <v>0</v>
      </c>
      <c r="T137" s="59" t="s">
        <v>0</v>
      </c>
      <c r="U137" s="55" t="s">
        <v>1</v>
      </c>
      <c r="W137" s="55" t="s">
        <v>1</v>
      </c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3"/>
      <c r="AS137" s="102"/>
      <c r="AU137" s="55" t="s">
        <v>290</v>
      </c>
      <c r="AV137" s="102"/>
      <c r="AW137" s="102"/>
      <c r="AX137" s="102"/>
      <c r="AY137" s="102"/>
      <c r="AZ137" s="102"/>
      <c r="BA137" s="102"/>
      <c r="BB137" s="102"/>
      <c r="BC137" s="102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2"/>
      <c r="BO137" s="7"/>
      <c r="BP137" s="7"/>
      <c r="BU137" s="7"/>
      <c r="BV137" s="1"/>
      <c r="BW137" s="1"/>
      <c r="BX137" s="1"/>
      <c r="CD137" s="1"/>
      <c r="CE137" s="1"/>
      <c r="CF137" s="1"/>
      <c r="CG137" s="1"/>
      <c r="CH137" s="1"/>
      <c r="CI137" s="55" t="s">
        <v>1</v>
      </c>
      <c r="DJ137" s="369" t="s">
        <v>895</v>
      </c>
      <c r="DK137" s="461" t="s">
        <v>896</v>
      </c>
      <c r="DL137" s="369" t="s">
        <v>897</v>
      </c>
      <c r="DM137" s="369" t="s">
        <v>898</v>
      </c>
      <c r="DN137" s="369" t="s">
        <v>899</v>
      </c>
      <c r="DO137" s="462" t="s">
        <v>900</v>
      </c>
      <c r="DQ137" s="58" t="s">
        <v>231</v>
      </c>
    </row>
    <row r="138" spans="2:121" ht="19.5" customHeight="1">
      <c r="B138" s="424" t="s">
        <v>2404</v>
      </c>
      <c r="C138" s="54"/>
      <c r="D138" s="54"/>
      <c r="E138" s="54"/>
      <c r="F138" s="54"/>
      <c r="G138" s="54"/>
      <c r="H138" s="54"/>
      <c r="I138" s="124"/>
      <c r="J138" s="486" t="s">
        <v>231</v>
      </c>
      <c r="M138" s="58" t="s">
        <v>231</v>
      </c>
      <c r="N138" s="55" t="s">
        <v>1</v>
      </c>
      <c r="O138" s="59" t="s">
        <v>0</v>
      </c>
      <c r="P138" s="59" t="s">
        <v>0</v>
      </c>
      <c r="Q138" s="59" t="s">
        <v>0</v>
      </c>
      <c r="R138" s="59" t="s">
        <v>0</v>
      </c>
      <c r="S138" s="59" t="s">
        <v>0</v>
      </c>
      <c r="T138" s="59" t="s">
        <v>0</v>
      </c>
      <c r="U138" s="55" t="s">
        <v>1</v>
      </c>
      <c r="W138" s="55" t="s">
        <v>1</v>
      </c>
      <c r="AG138" s="74"/>
      <c r="AP138" s="7"/>
      <c r="BD138" s="74"/>
      <c r="BF138" s="7"/>
      <c r="BG138" s="7"/>
      <c r="BH138" s="7"/>
      <c r="BI138" s="7"/>
      <c r="BJ138" s="7"/>
      <c r="BK138" s="7"/>
      <c r="BL138" s="7"/>
      <c r="BM138" s="7"/>
      <c r="BN138" s="7"/>
      <c r="BP138" s="7"/>
      <c r="BU138" s="7"/>
      <c r="BW138" s="1"/>
      <c r="BX138" s="1"/>
      <c r="CD138" s="1"/>
      <c r="CE138" s="1"/>
      <c r="CF138" s="1"/>
      <c r="CG138" s="1"/>
      <c r="CH138" s="1"/>
      <c r="CI138" s="55" t="s">
        <v>1</v>
      </c>
      <c r="DJ138" s="369" t="s">
        <v>901</v>
      </c>
      <c r="DK138" s="461" t="s">
        <v>902</v>
      </c>
      <c r="DL138" s="369" t="s">
        <v>897</v>
      </c>
      <c r="DM138" s="369" t="s">
        <v>898</v>
      </c>
      <c r="DN138" s="369" t="s">
        <v>899</v>
      </c>
      <c r="DO138" s="462" t="s">
        <v>900</v>
      </c>
      <c r="DQ138" s="58" t="s">
        <v>231</v>
      </c>
    </row>
    <row r="139" spans="2:121" ht="19.5" customHeight="1" thickBot="1">
      <c r="B139" s="424" t="s">
        <v>2404</v>
      </c>
      <c r="I139" s="49"/>
      <c r="J139" s="58" t="s">
        <v>231</v>
      </c>
      <c r="M139" s="58" t="s">
        <v>231</v>
      </c>
      <c r="N139" s="55" t="s">
        <v>1</v>
      </c>
      <c r="O139" s="62" t="s">
        <v>412</v>
      </c>
      <c r="Q139" s="55">
        <f>$R$7</f>
        <v>2020</v>
      </c>
      <c r="R139" s="55">
        <f>$S$7</f>
        <v>2021</v>
      </c>
      <c r="S139" s="55">
        <f>$T$7</f>
        <v>2022</v>
      </c>
      <c r="U139" s="55" t="s">
        <v>1</v>
      </c>
      <c r="W139" s="55" t="s">
        <v>1</v>
      </c>
      <c r="Z139" s="55" t="s">
        <v>267</v>
      </c>
      <c r="AB139" s="65">
        <f aca="true" t="shared" si="115" ref="AB139:BP139">IF($BQ$99=0,0,IF(AB$124=0,0,1))</f>
        <v>0</v>
      </c>
      <c r="AC139" s="65">
        <f t="shared" si="115"/>
        <v>0</v>
      </c>
      <c r="AD139" s="65">
        <f t="shared" si="115"/>
        <v>0</v>
      </c>
      <c r="AE139" s="65">
        <f t="shared" si="115"/>
        <v>0</v>
      </c>
      <c r="AF139" s="65">
        <f t="shared" si="115"/>
        <v>0</v>
      </c>
      <c r="AG139" s="65">
        <f t="shared" si="115"/>
        <v>0</v>
      </c>
      <c r="AH139" s="65">
        <f t="shared" si="115"/>
        <v>0</v>
      </c>
      <c r="AI139" s="65">
        <f t="shared" si="115"/>
        <v>0</v>
      </c>
      <c r="AJ139" s="65">
        <f t="shared" si="115"/>
        <v>0</v>
      </c>
      <c r="AK139" s="65">
        <f t="shared" si="115"/>
        <v>0</v>
      </c>
      <c r="AL139" s="65">
        <f t="shared" si="115"/>
        <v>0</v>
      </c>
      <c r="AM139" s="65">
        <f t="shared" si="115"/>
        <v>0</v>
      </c>
      <c r="AN139" s="65">
        <f t="shared" si="115"/>
        <v>0</v>
      </c>
      <c r="AO139" s="65">
        <f t="shared" si="115"/>
        <v>0</v>
      </c>
      <c r="AP139" s="65">
        <f t="shared" si="115"/>
        <v>0</v>
      </c>
      <c r="AQ139" s="65">
        <f t="shared" si="115"/>
        <v>0</v>
      </c>
      <c r="AR139" s="65">
        <f t="shared" si="115"/>
        <v>0</v>
      </c>
      <c r="AS139" s="65">
        <f t="shared" si="115"/>
        <v>0</v>
      </c>
      <c r="AT139" s="65">
        <f t="shared" si="115"/>
        <v>0</v>
      </c>
      <c r="AU139" s="65">
        <f t="shared" si="115"/>
        <v>0</v>
      </c>
      <c r="AV139" s="65">
        <f t="shared" si="115"/>
        <v>0</v>
      </c>
      <c r="AW139" s="65">
        <f t="shared" si="115"/>
        <v>0</v>
      </c>
      <c r="AX139" s="65">
        <f t="shared" si="115"/>
        <v>0</v>
      </c>
      <c r="AY139" s="65">
        <f t="shared" si="115"/>
        <v>0</v>
      </c>
      <c r="AZ139" s="65">
        <f t="shared" si="115"/>
        <v>0</v>
      </c>
      <c r="BA139" s="65">
        <f t="shared" si="115"/>
        <v>0</v>
      </c>
      <c r="BB139" s="65">
        <f t="shared" si="115"/>
        <v>0</v>
      </c>
      <c r="BC139" s="65">
        <f t="shared" si="115"/>
        <v>0</v>
      </c>
      <c r="BD139" s="65">
        <f t="shared" si="115"/>
        <v>0</v>
      </c>
      <c r="BE139" s="65">
        <f t="shared" si="115"/>
        <v>0</v>
      </c>
      <c r="BF139" s="65">
        <f t="shared" si="115"/>
        <v>0</v>
      </c>
      <c r="BG139" s="65">
        <f t="shared" si="115"/>
        <v>0</v>
      </c>
      <c r="BH139" s="65">
        <f t="shared" si="115"/>
        <v>0</v>
      </c>
      <c r="BI139" s="65">
        <f t="shared" si="115"/>
        <v>0</v>
      </c>
      <c r="BJ139" s="65">
        <f t="shared" si="115"/>
        <v>0</v>
      </c>
      <c r="BK139" s="65">
        <f t="shared" si="115"/>
        <v>0</v>
      </c>
      <c r="BL139" s="65">
        <f t="shared" si="115"/>
        <v>0</v>
      </c>
      <c r="BM139" s="65">
        <f t="shared" si="115"/>
        <v>0</v>
      </c>
      <c r="BN139" s="65">
        <f t="shared" si="115"/>
        <v>0</v>
      </c>
      <c r="BO139" s="65">
        <f t="shared" si="115"/>
        <v>0</v>
      </c>
      <c r="BP139" s="65">
        <f t="shared" si="115"/>
        <v>0</v>
      </c>
      <c r="BQ139" s="7"/>
      <c r="BU139" s="7"/>
      <c r="BV139" s="1"/>
      <c r="BW139" s="1"/>
      <c r="BX139" s="1"/>
      <c r="CD139" s="1"/>
      <c r="CE139" s="1"/>
      <c r="CF139" s="1"/>
      <c r="CG139" s="1"/>
      <c r="CH139" s="1"/>
      <c r="CI139" s="55" t="s">
        <v>1</v>
      </c>
      <c r="DJ139" s="369" t="s">
        <v>903</v>
      </c>
      <c r="DK139" s="461" t="s">
        <v>904</v>
      </c>
      <c r="DL139" s="369" t="s">
        <v>897</v>
      </c>
      <c r="DM139" s="369" t="s">
        <v>898</v>
      </c>
      <c r="DN139" s="369" t="s">
        <v>899</v>
      </c>
      <c r="DO139" s="462" t="s">
        <v>900</v>
      </c>
      <c r="DQ139" s="58" t="s">
        <v>231</v>
      </c>
    </row>
    <row r="140" spans="2:121" ht="19.5" customHeight="1" thickBot="1">
      <c r="B140" s="105" t="s">
        <v>326</v>
      </c>
      <c r="C140" s="106"/>
      <c r="D140" s="395" t="s">
        <v>323</v>
      </c>
      <c r="E140" s="105" t="s">
        <v>347</v>
      </c>
      <c r="H140" s="171" t="s">
        <v>349</v>
      </c>
      <c r="I140" s="394" t="s">
        <v>231</v>
      </c>
      <c r="J140" s="60"/>
      <c r="M140" s="58" t="s">
        <v>231</v>
      </c>
      <c r="N140" s="55" t="s">
        <v>1</v>
      </c>
      <c r="O140" s="59" t="s">
        <v>0</v>
      </c>
      <c r="P140" s="59" t="s">
        <v>0</v>
      </c>
      <c r="Q140" s="59" t="s">
        <v>0</v>
      </c>
      <c r="R140" s="59" t="s">
        <v>0</v>
      </c>
      <c r="S140" s="59" t="s">
        <v>0</v>
      </c>
      <c r="T140" s="59" t="s">
        <v>0</v>
      </c>
      <c r="U140" s="55" t="s">
        <v>1</v>
      </c>
      <c r="W140" s="55" t="s">
        <v>1</v>
      </c>
      <c r="AB140" s="65">
        <f aca="true" t="shared" si="116" ref="AB140:BP140">IF($BQ$100=0,0,IF(AB$124=0,0,1))</f>
        <v>0</v>
      </c>
      <c r="AC140" s="65">
        <f t="shared" si="116"/>
        <v>0</v>
      </c>
      <c r="AD140" s="65">
        <f t="shared" si="116"/>
        <v>0</v>
      </c>
      <c r="AE140" s="65">
        <f t="shared" si="116"/>
        <v>0</v>
      </c>
      <c r="AF140" s="65">
        <f t="shared" si="116"/>
        <v>0</v>
      </c>
      <c r="AG140" s="65">
        <f t="shared" si="116"/>
        <v>0</v>
      </c>
      <c r="AH140" s="65">
        <f t="shared" si="116"/>
        <v>0</v>
      </c>
      <c r="AI140" s="65">
        <f t="shared" si="116"/>
        <v>0</v>
      </c>
      <c r="AJ140" s="65">
        <f t="shared" si="116"/>
        <v>0</v>
      </c>
      <c r="AK140" s="65">
        <f t="shared" si="116"/>
        <v>0</v>
      </c>
      <c r="AL140" s="65">
        <f t="shared" si="116"/>
        <v>0</v>
      </c>
      <c r="AM140" s="65">
        <f t="shared" si="116"/>
        <v>0</v>
      </c>
      <c r="AN140" s="65">
        <f t="shared" si="116"/>
        <v>0</v>
      </c>
      <c r="AO140" s="65">
        <f t="shared" si="116"/>
        <v>0</v>
      </c>
      <c r="AP140" s="65">
        <f t="shared" si="116"/>
        <v>0</v>
      </c>
      <c r="AQ140" s="65">
        <f t="shared" si="116"/>
        <v>0</v>
      </c>
      <c r="AR140" s="65">
        <f t="shared" si="116"/>
        <v>0</v>
      </c>
      <c r="AS140" s="65">
        <f t="shared" si="116"/>
        <v>0</v>
      </c>
      <c r="AT140" s="65">
        <f t="shared" si="116"/>
        <v>0</v>
      </c>
      <c r="AU140" s="65">
        <f t="shared" si="116"/>
        <v>0</v>
      </c>
      <c r="AV140" s="65">
        <f t="shared" si="116"/>
        <v>0</v>
      </c>
      <c r="AW140" s="65">
        <f t="shared" si="116"/>
        <v>0</v>
      </c>
      <c r="AX140" s="65">
        <f t="shared" si="116"/>
        <v>0</v>
      </c>
      <c r="AY140" s="65">
        <f t="shared" si="116"/>
        <v>0</v>
      </c>
      <c r="AZ140" s="65">
        <f t="shared" si="116"/>
        <v>0</v>
      </c>
      <c r="BA140" s="65">
        <f t="shared" si="116"/>
        <v>0</v>
      </c>
      <c r="BB140" s="65">
        <f t="shared" si="116"/>
        <v>0</v>
      </c>
      <c r="BC140" s="65">
        <f t="shared" si="116"/>
        <v>0</v>
      </c>
      <c r="BD140" s="65">
        <f t="shared" si="116"/>
        <v>0</v>
      </c>
      <c r="BE140" s="65">
        <f t="shared" si="116"/>
        <v>0</v>
      </c>
      <c r="BF140" s="65">
        <f t="shared" si="116"/>
        <v>0</v>
      </c>
      <c r="BG140" s="65">
        <f t="shared" si="116"/>
        <v>0</v>
      </c>
      <c r="BH140" s="65">
        <f t="shared" si="116"/>
        <v>0</v>
      </c>
      <c r="BI140" s="65">
        <f t="shared" si="116"/>
        <v>0</v>
      </c>
      <c r="BJ140" s="65">
        <f t="shared" si="116"/>
        <v>0</v>
      </c>
      <c r="BK140" s="65">
        <f t="shared" si="116"/>
        <v>0</v>
      </c>
      <c r="BL140" s="65">
        <f t="shared" si="116"/>
        <v>0</v>
      </c>
      <c r="BM140" s="65">
        <f t="shared" si="116"/>
        <v>0</v>
      </c>
      <c r="BN140" s="65">
        <f t="shared" si="116"/>
        <v>0</v>
      </c>
      <c r="BO140" s="65">
        <f t="shared" si="116"/>
        <v>0</v>
      </c>
      <c r="BP140" s="65">
        <f t="shared" si="116"/>
        <v>0</v>
      </c>
      <c r="BU140" s="7"/>
      <c r="BV140" s="1"/>
      <c r="BW140" s="1"/>
      <c r="BX140" s="1"/>
      <c r="CD140" s="1"/>
      <c r="CE140" s="1"/>
      <c r="CF140" s="1"/>
      <c r="CG140" s="1"/>
      <c r="CH140" s="1"/>
      <c r="CI140" s="55" t="s">
        <v>1</v>
      </c>
      <c r="DJ140" s="369" t="s">
        <v>905</v>
      </c>
      <c r="DK140" s="461" t="s">
        <v>906</v>
      </c>
      <c r="DL140" s="369" t="s">
        <v>897</v>
      </c>
      <c r="DM140" s="369" t="s">
        <v>898</v>
      </c>
      <c r="DN140" s="369" t="s">
        <v>899</v>
      </c>
      <c r="DO140" s="462" t="s">
        <v>900</v>
      </c>
      <c r="DQ140" s="58" t="s">
        <v>231</v>
      </c>
    </row>
    <row r="141" spans="2:121" ht="19.5" customHeight="1" thickBot="1">
      <c r="B141" s="105" t="s">
        <v>324</v>
      </c>
      <c r="D141" s="172" t="s">
        <v>350</v>
      </c>
      <c r="E141" s="130"/>
      <c r="F141" s="130"/>
      <c r="G141" s="130"/>
      <c r="H141" s="131"/>
      <c r="I141" s="169"/>
      <c r="J141" s="60"/>
      <c r="M141" s="58" t="s">
        <v>231</v>
      </c>
      <c r="N141" s="55" t="s">
        <v>1</v>
      </c>
      <c r="O141" s="57" t="s">
        <v>454</v>
      </c>
      <c r="Q141" s="2">
        <f>IF(R47+R71-R78=0,0,(R58+R79)/(R47+R71-R78)*100)</f>
        <v>-18.086347048043315</v>
      </c>
      <c r="R141" s="2">
        <f>IF(S47+S71-S78=0,0,(S58+S79)/(S47+S71-S78)*100)</f>
        <v>3.283900808748974</v>
      </c>
      <c r="S141" s="2">
        <f>IF(T47+T71-T78=0,0,(T58+T79)/(T47+T71-T78)*100)</f>
        <v>6.905819159688456</v>
      </c>
      <c r="U141" s="55" t="s">
        <v>1</v>
      </c>
      <c r="W141" s="55" t="s">
        <v>1</v>
      </c>
      <c r="Z141" s="55" t="s">
        <v>268</v>
      </c>
      <c r="AB141" s="65">
        <f aca="true" t="shared" si="117" ref="AB141:BP141">IF($BQ$101=0,0,IF(AB$124=0,0,1))</f>
        <v>0</v>
      </c>
      <c r="AC141" s="65">
        <f t="shared" si="117"/>
        <v>0</v>
      </c>
      <c r="AD141" s="65">
        <f t="shared" si="117"/>
        <v>0</v>
      </c>
      <c r="AE141" s="65">
        <f t="shared" si="117"/>
        <v>0</v>
      </c>
      <c r="AF141" s="65">
        <f t="shared" si="117"/>
        <v>0</v>
      </c>
      <c r="AG141" s="65">
        <f t="shared" si="117"/>
        <v>0</v>
      </c>
      <c r="AH141" s="65">
        <f t="shared" si="117"/>
        <v>0</v>
      </c>
      <c r="AI141" s="65">
        <f t="shared" si="117"/>
        <v>0</v>
      </c>
      <c r="AJ141" s="65">
        <f t="shared" si="117"/>
        <v>0</v>
      </c>
      <c r="AK141" s="65">
        <f t="shared" si="117"/>
        <v>0</v>
      </c>
      <c r="AL141" s="65">
        <f t="shared" si="117"/>
        <v>0</v>
      </c>
      <c r="AM141" s="65">
        <f t="shared" si="117"/>
        <v>0</v>
      </c>
      <c r="AN141" s="65">
        <f t="shared" si="117"/>
        <v>0</v>
      </c>
      <c r="AO141" s="65">
        <f t="shared" si="117"/>
        <v>0</v>
      </c>
      <c r="AP141" s="65">
        <f t="shared" si="117"/>
        <v>0</v>
      </c>
      <c r="AQ141" s="65">
        <f t="shared" si="117"/>
        <v>0</v>
      </c>
      <c r="AR141" s="65">
        <f t="shared" si="117"/>
        <v>0</v>
      </c>
      <c r="AS141" s="65">
        <f t="shared" si="117"/>
        <v>0</v>
      </c>
      <c r="AT141" s="65">
        <f t="shared" si="117"/>
        <v>0</v>
      </c>
      <c r="AU141" s="65">
        <f t="shared" si="117"/>
        <v>0</v>
      </c>
      <c r="AV141" s="65">
        <f t="shared" si="117"/>
        <v>0</v>
      </c>
      <c r="AW141" s="65">
        <f t="shared" si="117"/>
        <v>0</v>
      </c>
      <c r="AX141" s="65">
        <f t="shared" si="117"/>
        <v>0</v>
      </c>
      <c r="AY141" s="65">
        <f t="shared" si="117"/>
        <v>0</v>
      </c>
      <c r="AZ141" s="65">
        <f t="shared" si="117"/>
        <v>0</v>
      </c>
      <c r="BA141" s="65">
        <f t="shared" si="117"/>
        <v>0</v>
      </c>
      <c r="BB141" s="65">
        <f t="shared" si="117"/>
        <v>0</v>
      </c>
      <c r="BC141" s="65">
        <f t="shared" si="117"/>
        <v>0</v>
      </c>
      <c r="BD141" s="65">
        <f t="shared" si="117"/>
        <v>0</v>
      </c>
      <c r="BE141" s="65">
        <f t="shared" si="117"/>
        <v>0</v>
      </c>
      <c r="BF141" s="65">
        <f t="shared" si="117"/>
        <v>0</v>
      </c>
      <c r="BG141" s="65">
        <f t="shared" si="117"/>
        <v>0</v>
      </c>
      <c r="BH141" s="65">
        <f t="shared" si="117"/>
        <v>0</v>
      </c>
      <c r="BI141" s="65">
        <f t="shared" si="117"/>
        <v>0</v>
      </c>
      <c r="BJ141" s="65">
        <f t="shared" si="117"/>
        <v>0</v>
      </c>
      <c r="BK141" s="65">
        <f t="shared" si="117"/>
        <v>0</v>
      </c>
      <c r="BL141" s="65">
        <f t="shared" si="117"/>
        <v>0</v>
      </c>
      <c r="BM141" s="65">
        <f t="shared" si="117"/>
        <v>0</v>
      </c>
      <c r="BN141" s="65">
        <f t="shared" si="117"/>
        <v>0</v>
      </c>
      <c r="BO141" s="65">
        <f t="shared" si="117"/>
        <v>0</v>
      </c>
      <c r="BP141" s="65">
        <f t="shared" si="117"/>
        <v>0</v>
      </c>
      <c r="BU141" s="7"/>
      <c r="BV141" s="1"/>
      <c r="BW141" s="1"/>
      <c r="BX141" s="1"/>
      <c r="CD141" s="1"/>
      <c r="CE141" s="1"/>
      <c r="CF141" s="1"/>
      <c r="CG141" s="1"/>
      <c r="CH141" s="1"/>
      <c r="CI141" s="55" t="s">
        <v>1</v>
      </c>
      <c r="DJ141" s="369" t="s">
        <v>907</v>
      </c>
      <c r="DK141" s="461" t="s">
        <v>908</v>
      </c>
      <c r="DL141" s="369" t="s">
        <v>897</v>
      </c>
      <c r="DM141" s="369" t="s">
        <v>898</v>
      </c>
      <c r="DN141" s="369" t="s">
        <v>899</v>
      </c>
      <c r="DO141" s="462" t="s">
        <v>900</v>
      </c>
      <c r="DQ141" s="58" t="s">
        <v>231</v>
      </c>
    </row>
    <row r="142" spans="2:121" ht="19.5" customHeight="1" thickBot="1">
      <c r="B142" s="105" t="s">
        <v>343</v>
      </c>
      <c r="C142" s="106"/>
      <c r="D142" s="396">
        <f>+J7</f>
        <v>2020</v>
      </c>
      <c r="E142" s="168"/>
      <c r="F142" s="159"/>
      <c r="G142" s="159"/>
      <c r="H142" s="96"/>
      <c r="I142" s="125"/>
      <c r="M142" s="58" t="s">
        <v>231</v>
      </c>
      <c r="N142" s="55" t="s">
        <v>1</v>
      </c>
      <c r="O142" s="55" t="s">
        <v>467</v>
      </c>
      <c r="Q142" s="2">
        <f>IF(R46-R78=0,0,(R46-R50-R53-R78)/(R46-R78)*100)</f>
        <v>10.333669204772907</v>
      </c>
      <c r="R142" s="2">
        <f>IF(S46-S78=0,0,(S46-S50-S53-S78)/(S46-S78)*100)</f>
        <v>26.99423593916005</v>
      </c>
      <c r="S142" s="2">
        <f>IF(T46-T78=0,0,(T46-T50-T53-T78)/(T46-T78)*100)</f>
        <v>22.155214644407586</v>
      </c>
      <c r="U142" s="55" t="s">
        <v>1</v>
      </c>
      <c r="W142" s="55" t="s">
        <v>1</v>
      </c>
      <c r="AB142" s="65">
        <f aca="true" t="shared" si="118" ref="AB142:BP142">IF($BQ$102=0,0,IF(AB$124=0,0,1))</f>
        <v>0</v>
      </c>
      <c r="AC142" s="65">
        <f t="shared" si="118"/>
        <v>0</v>
      </c>
      <c r="AD142" s="65">
        <f t="shared" si="118"/>
        <v>0</v>
      </c>
      <c r="AE142" s="65">
        <f t="shared" si="118"/>
        <v>0</v>
      </c>
      <c r="AF142" s="65">
        <f t="shared" si="118"/>
        <v>0</v>
      </c>
      <c r="AG142" s="65">
        <f t="shared" si="118"/>
        <v>0</v>
      </c>
      <c r="AH142" s="65">
        <f t="shared" si="118"/>
        <v>0</v>
      </c>
      <c r="AI142" s="65">
        <f t="shared" si="118"/>
        <v>0</v>
      </c>
      <c r="AJ142" s="65">
        <f t="shared" si="118"/>
        <v>0</v>
      </c>
      <c r="AK142" s="65">
        <f t="shared" si="118"/>
        <v>0</v>
      </c>
      <c r="AL142" s="65">
        <f t="shared" si="118"/>
        <v>0</v>
      </c>
      <c r="AM142" s="65">
        <f t="shared" si="118"/>
        <v>0</v>
      </c>
      <c r="AN142" s="65">
        <f t="shared" si="118"/>
        <v>0</v>
      </c>
      <c r="AO142" s="65">
        <f t="shared" si="118"/>
        <v>0</v>
      </c>
      <c r="AP142" s="65">
        <f t="shared" si="118"/>
        <v>0</v>
      </c>
      <c r="AQ142" s="65">
        <f t="shared" si="118"/>
        <v>0</v>
      </c>
      <c r="AR142" s="65">
        <f t="shared" si="118"/>
        <v>0</v>
      </c>
      <c r="AS142" s="65">
        <f t="shared" si="118"/>
        <v>0</v>
      </c>
      <c r="AT142" s="65">
        <f t="shared" si="118"/>
        <v>0</v>
      </c>
      <c r="AU142" s="65">
        <f t="shared" si="118"/>
        <v>0</v>
      </c>
      <c r="AV142" s="65">
        <f t="shared" si="118"/>
        <v>0</v>
      </c>
      <c r="AW142" s="65">
        <f t="shared" si="118"/>
        <v>0</v>
      </c>
      <c r="AX142" s="65">
        <f t="shared" si="118"/>
        <v>0</v>
      </c>
      <c r="AY142" s="65">
        <f t="shared" si="118"/>
        <v>0</v>
      </c>
      <c r="AZ142" s="65">
        <f t="shared" si="118"/>
        <v>0</v>
      </c>
      <c r="BA142" s="65">
        <f t="shared" si="118"/>
        <v>0</v>
      </c>
      <c r="BB142" s="65">
        <f t="shared" si="118"/>
        <v>0</v>
      </c>
      <c r="BC142" s="65">
        <f t="shared" si="118"/>
        <v>0</v>
      </c>
      <c r="BD142" s="65">
        <f t="shared" si="118"/>
        <v>0</v>
      </c>
      <c r="BE142" s="65">
        <f t="shared" si="118"/>
        <v>0</v>
      </c>
      <c r="BF142" s="65">
        <f t="shared" si="118"/>
        <v>0</v>
      </c>
      <c r="BG142" s="65">
        <f t="shared" si="118"/>
        <v>0</v>
      </c>
      <c r="BH142" s="65">
        <f t="shared" si="118"/>
        <v>0</v>
      </c>
      <c r="BI142" s="65">
        <f t="shared" si="118"/>
        <v>0</v>
      </c>
      <c r="BJ142" s="65">
        <f t="shared" si="118"/>
        <v>0</v>
      </c>
      <c r="BK142" s="65">
        <f t="shared" si="118"/>
        <v>0</v>
      </c>
      <c r="BL142" s="65">
        <f t="shared" si="118"/>
        <v>0</v>
      </c>
      <c r="BM142" s="65">
        <f t="shared" si="118"/>
        <v>0</v>
      </c>
      <c r="BN142" s="65">
        <f t="shared" si="118"/>
        <v>0</v>
      </c>
      <c r="BO142" s="65">
        <f t="shared" si="118"/>
        <v>0</v>
      </c>
      <c r="BP142" s="65">
        <f t="shared" si="118"/>
        <v>0</v>
      </c>
      <c r="BU142" s="7"/>
      <c r="BV142" s="1"/>
      <c r="BW142" s="1"/>
      <c r="BX142" s="1"/>
      <c r="CD142" s="1"/>
      <c r="CE142" s="1"/>
      <c r="CF142" s="1"/>
      <c r="CG142" s="1"/>
      <c r="CH142" s="1"/>
      <c r="CI142" s="55" t="s">
        <v>1</v>
      </c>
      <c r="DJ142" s="369" t="s">
        <v>909</v>
      </c>
      <c r="DK142" s="463" t="s">
        <v>910</v>
      </c>
      <c r="DL142" s="369" t="s">
        <v>897</v>
      </c>
      <c r="DM142" s="369" t="s">
        <v>898</v>
      </c>
      <c r="DN142" s="369" t="s">
        <v>899</v>
      </c>
      <c r="DO142" s="462" t="s">
        <v>900</v>
      </c>
      <c r="DQ142" s="58" t="s">
        <v>231</v>
      </c>
    </row>
    <row r="143" spans="4:121" ht="19.5" customHeight="1">
      <c r="D143" s="70"/>
      <c r="E143" s="111"/>
      <c r="G143" s="106"/>
      <c r="H143" s="112"/>
      <c r="M143" s="58" t="s">
        <v>231</v>
      </c>
      <c r="N143" s="55" t="s">
        <v>1</v>
      </c>
      <c r="O143" s="55" t="s">
        <v>465</v>
      </c>
      <c r="Q143" s="6">
        <f>IF(R76=0,0,(R46-R50-R53-R78)/R10*12/R76)</f>
        <v>30.04717466600689</v>
      </c>
      <c r="R143" s="6">
        <f>IF(S76=0,0,(S46-S50-S53-S78)/S10*12/S76)</f>
        <v>107.91070530344447</v>
      </c>
      <c r="S143" s="6">
        <f>IF(T76=0,0,(T46-T50-T53-T78)/T10*12/T76)</f>
        <v>130.77812831077108</v>
      </c>
      <c r="U143" s="55" t="s">
        <v>1</v>
      </c>
      <c r="W143" s="55" t="s">
        <v>1</v>
      </c>
      <c r="Z143" s="55" t="s">
        <v>269</v>
      </c>
      <c r="AB143" s="65">
        <f aca="true" t="shared" si="119" ref="AB143:BP143">IF($BQ$103=0,0,IF(AB$124=0,0,1))</f>
        <v>0</v>
      </c>
      <c r="AC143" s="65">
        <f t="shared" si="119"/>
        <v>0</v>
      </c>
      <c r="AD143" s="65">
        <f t="shared" si="119"/>
        <v>0</v>
      </c>
      <c r="AE143" s="65">
        <f t="shared" si="119"/>
        <v>0</v>
      </c>
      <c r="AF143" s="65">
        <f t="shared" si="119"/>
        <v>0</v>
      </c>
      <c r="AG143" s="65">
        <f t="shared" si="119"/>
        <v>0</v>
      </c>
      <c r="AH143" s="65">
        <f t="shared" si="119"/>
        <v>0</v>
      </c>
      <c r="AI143" s="65">
        <f t="shared" si="119"/>
        <v>0</v>
      </c>
      <c r="AJ143" s="65">
        <f t="shared" si="119"/>
        <v>0</v>
      </c>
      <c r="AK143" s="65">
        <f t="shared" si="119"/>
        <v>0</v>
      </c>
      <c r="AL143" s="65">
        <f t="shared" si="119"/>
        <v>0</v>
      </c>
      <c r="AM143" s="65">
        <f t="shared" si="119"/>
        <v>0</v>
      </c>
      <c r="AN143" s="65">
        <f t="shared" si="119"/>
        <v>0</v>
      </c>
      <c r="AO143" s="65">
        <f t="shared" si="119"/>
        <v>0</v>
      </c>
      <c r="AP143" s="65">
        <f t="shared" si="119"/>
        <v>0</v>
      </c>
      <c r="AQ143" s="65">
        <f t="shared" si="119"/>
        <v>0</v>
      </c>
      <c r="AR143" s="65">
        <f t="shared" si="119"/>
        <v>0</v>
      </c>
      <c r="AS143" s="65">
        <f t="shared" si="119"/>
        <v>0</v>
      </c>
      <c r="AT143" s="65">
        <f t="shared" si="119"/>
        <v>0</v>
      </c>
      <c r="AU143" s="65">
        <f t="shared" si="119"/>
        <v>0</v>
      </c>
      <c r="AV143" s="65">
        <f t="shared" si="119"/>
        <v>0</v>
      </c>
      <c r="AW143" s="65">
        <f t="shared" si="119"/>
        <v>0</v>
      </c>
      <c r="AX143" s="65">
        <f t="shared" si="119"/>
        <v>0</v>
      </c>
      <c r="AY143" s="65">
        <f t="shared" si="119"/>
        <v>0</v>
      </c>
      <c r="AZ143" s="65">
        <f t="shared" si="119"/>
        <v>0</v>
      </c>
      <c r="BA143" s="65">
        <f t="shared" si="119"/>
        <v>0</v>
      </c>
      <c r="BB143" s="65">
        <f t="shared" si="119"/>
        <v>0</v>
      </c>
      <c r="BC143" s="65">
        <f t="shared" si="119"/>
        <v>0</v>
      </c>
      <c r="BD143" s="65">
        <f t="shared" si="119"/>
        <v>0</v>
      </c>
      <c r="BE143" s="65">
        <f t="shared" si="119"/>
        <v>0</v>
      </c>
      <c r="BF143" s="65">
        <f t="shared" si="119"/>
        <v>0</v>
      </c>
      <c r="BG143" s="65">
        <f t="shared" si="119"/>
        <v>0</v>
      </c>
      <c r="BH143" s="65">
        <f t="shared" si="119"/>
        <v>0</v>
      </c>
      <c r="BI143" s="65">
        <f t="shared" si="119"/>
        <v>0</v>
      </c>
      <c r="BJ143" s="65">
        <f t="shared" si="119"/>
        <v>0</v>
      </c>
      <c r="BK143" s="65">
        <f t="shared" si="119"/>
        <v>0</v>
      </c>
      <c r="BL143" s="65">
        <f t="shared" si="119"/>
        <v>0</v>
      </c>
      <c r="BM143" s="65">
        <f t="shared" si="119"/>
        <v>0</v>
      </c>
      <c r="BN143" s="65">
        <f t="shared" si="119"/>
        <v>0</v>
      </c>
      <c r="BO143" s="65">
        <f t="shared" si="119"/>
        <v>0</v>
      </c>
      <c r="BP143" s="65">
        <f t="shared" si="119"/>
        <v>0</v>
      </c>
      <c r="BU143" s="7"/>
      <c r="BV143" s="1"/>
      <c r="BW143" s="1"/>
      <c r="BX143" s="1"/>
      <c r="CD143" s="1"/>
      <c r="CE143" s="1"/>
      <c r="CF143" s="1"/>
      <c r="CG143" s="1"/>
      <c r="CH143" s="1"/>
      <c r="CI143" s="55" t="s">
        <v>1</v>
      </c>
      <c r="DJ143" s="369" t="s">
        <v>911</v>
      </c>
      <c r="DK143" s="461" t="s">
        <v>912</v>
      </c>
      <c r="DL143" s="369" t="s">
        <v>897</v>
      </c>
      <c r="DM143" s="369" t="s">
        <v>898</v>
      </c>
      <c r="DN143" s="369" t="s">
        <v>899</v>
      </c>
      <c r="DO143" s="462" t="s">
        <v>900</v>
      </c>
      <c r="DQ143" s="58" t="s">
        <v>231</v>
      </c>
    </row>
    <row r="144" spans="2:121" ht="19.5" customHeight="1">
      <c r="B144" s="64" t="s">
        <v>345</v>
      </c>
      <c r="C144" s="56"/>
      <c r="D144" s="56"/>
      <c r="E144" s="114" t="s">
        <v>316</v>
      </c>
      <c r="F144" s="493" t="s">
        <v>234</v>
      </c>
      <c r="G144" s="493" t="s">
        <v>2256</v>
      </c>
      <c r="H144" s="494" t="s">
        <v>318</v>
      </c>
      <c r="M144" s="58" t="s">
        <v>231</v>
      </c>
      <c r="N144" s="55" t="s">
        <v>1</v>
      </c>
      <c r="O144" s="55" t="s">
        <v>466</v>
      </c>
      <c r="Q144" s="2">
        <f>IF(R46-R50-R53-R78=0,0,(R55+R77)/(R46-R50-R53-R78)*100)</f>
        <v>236.4121139544055</v>
      </c>
      <c r="R144" s="2">
        <f>IF(S46-S50-S53-S78=0,0,(S55+S77)/(S46-S50-S53-S78)*100)</f>
        <v>66.43432990482584</v>
      </c>
      <c r="S144" s="2">
        <f>IF(T46-T50-T53-T78=0,0,(T55+T77)/(T46-T50-T53-T78)*100)</f>
        <v>68.9140304036094</v>
      </c>
      <c r="T144" s="3"/>
      <c r="U144" s="55" t="s">
        <v>1</v>
      </c>
      <c r="W144" s="55" t="s">
        <v>1</v>
      </c>
      <c r="AB144" s="65">
        <f aca="true" t="shared" si="120" ref="AB144:BP144">IF($BQ$104=0,0,IF(AB$124=0,0,1))</f>
        <v>0</v>
      </c>
      <c r="AC144" s="65">
        <f t="shared" si="120"/>
        <v>0</v>
      </c>
      <c r="AD144" s="65">
        <f t="shared" si="120"/>
        <v>0</v>
      </c>
      <c r="AE144" s="65">
        <f t="shared" si="120"/>
        <v>0</v>
      </c>
      <c r="AF144" s="65">
        <f t="shared" si="120"/>
        <v>0</v>
      </c>
      <c r="AG144" s="65">
        <f t="shared" si="120"/>
        <v>0</v>
      </c>
      <c r="AH144" s="65">
        <f t="shared" si="120"/>
        <v>0</v>
      </c>
      <c r="AI144" s="65">
        <f t="shared" si="120"/>
        <v>0</v>
      </c>
      <c r="AJ144" s="65">
        <f t="shared" si="120"/>
        <v>0</v>
      </c>
      <c r="AK144" s="65">
        <f t="shared" si="120"/>
        <v>0</v>
      </c>
      <c r="AL144" s="65">
        <f t="shared" si="120"/>
        <v>0</v>
      </c>
      <c r="AM144" s="65">
        <f t="shared" si="120"/>
        <v>0</v>
      </c>
      <c r="AN144" s="65">
        <f t="shared" si="120"/>
        <v>0</v>
      </c>
      <c r="AO144" s="65">
        <f t="shared" si="120"/>
        <v>0</v>
      </c>
      <c r="AP144" s="65">
        <f t="shared" si="120"/>
        <v>0</v>
      </c>
      <c r="AQ144" s="65">
        <f t="shared" si="120"/>
        <v>0</v>
      </c>
      <c r="AR144" s="65">
        <f t="shared" si="120"/>
        <v>0</v>
      </c>
      <c r="AS144" s="65">
        <f t="shared" si="120"/>
        <v>0</v>
      </c>
      <c r="AT144" s="65">
        <f t="shared" si="120"/>
        <v>0</v>
      </c>
      <c r="AU144" s="65">
        <f t="shared" si="120"/>
        <v>0</v>
      </c>
      <c r="AV144" s="65">
        <f t="shared" si="120"/>
        <v>0</v>
      </c>
      <c r="AW144" s="65">
        <f t="shared" si="120"/>
        <v>0</v>
      </c>
      <c r="AX144" s="65">
        <f t="shared" si="120"/>
        <v>0</v>
      </c>
      <c r="AY144" s="65">
        <f t="shared" si="120"/>
        <v>0</v>
      </c>
      <c r="AZ144" s="65">
        <f t="shared" si="120"/>
        <v>0</v>
      </c>
      <c r="BA144" s="65">
        <f t="shared" si="120"/>
        <v>1</v>
      </c>
      <c r="BB144" s="65">
        <f t="shared" si="120"/>
        <v>0</v>
      </c>
      <c r="BC144" s="65">
        <f t="shared" si="120"/>
        <v>0</v>
      </c>
      <c r="BD144" s="65">
        <f t="shared" si="120"/>
        <v>0</v>
      </c>
      <c r="BE144" s="65">
        <f t="shared" si="120"/>
        <v>0</v>
      </c>
      <c r="BF144" s="65">
        <f t="shared" si="120"/>
        <v>0</v>
      </c>
      <c r="BG144" s="65">
        <f t="shared" si="120"/>
        <v>0</v>
      </c>
      <c r="BH144" s="65">
        <f t="shared" si="120"/>
        <v>0</v>
      </c>
      <c r="BI144" s="65">
        <f t="shared" si="120"/>
        <v>0</v>
      </c>
      <c r="BJ144" s="65">
        <f t="shared" si="120"/>
        <v>0</v>
      </c>
      <c r="BK144" s="65">
        <f t="shared" si="120"/>
        <v>0</v>
      </c>
      <c r="BL144" s="65">
        <f t="shared" si="120"/>
        <v>0</v>
      </c>
      <c r="BM144" s="65">
        <f t="shared" si="120"/>
        <v>0</v>
      </c>
      <c r="BN144" s="65">
        <f t="shared" si="120"/>
        <v>0</v>
      </c>
      <c r="BO144" s="65">
        <f t="shared" si="120"/>
        <v>0</v>
      </c>
      <c r="BP144" s="65">
        <f t="shared" si="120"/>
        <v>0</v>
      </c>
      <c r="BU144" s="7"/>
      <c r="BV144" s="1"/>
      <c r="BW144" s="1"/>
      <c r="BX144" s="1"/>
      <c r="CD144" s="1"/>
      <c r="CE144" s="1"/>
      <c r="CF144" s="1"/>
      <c r="CG144" s="1"/>
      <c r="CH144" s="1"/>
      <c r="CI144" s="55" t="s">
        <v>1</v>
      </c>
      <c r="DJ144" s="369" t="s">
        <v>913</v>
      </c>
      <c r="DK144" s="461" t="s">
        <v>914</v>
      </c>
      <c r="DL144" s="369" t="s">
        <v>897</v>
      </c>
      <c r="DM144" s="369" t="s">
        <v>897</v>
      </c>
      <c r="DN144" s="369" t="s">
        <v>915</v>
      </c>
      <c r="DO144" s="462" t="s">
        <v>916</v>
      </c>
      <c r="DQ144" s="58" t="s">
        <v>231</v>
      </c>
    </row>
    <row r="145" spans="2:121" ht="19.5" customHeight="1">
      <c r="B145" s="110" t="s">
        <v>444</v>
      </c>
      <c r="E145" s="357">
        <v>2</v>
      </c>
      <c r="F145" s="498">
        <v>5.5</v>
      </c>
      <c r="G145" s="498">
        <v>4.42</v>
      </c>
      <c r="H145" s="499">
        <v>10031</v>
      </c>
      <c r="M145" s="58" t="s">
        <v>231</v>
      </c>
      <c r="N145" s="55" t="s">
        <v>1</v>
      </c>
      <c r="O145" s="58" t="s">
        <v>446</v>
      </c>
      <c r="Q145" s="2">
        <f>IF(R46-R50-R53-R78=0,0,(R56-R77)/(R46-R50-R53-R78)*100)</f>
        <v>0.3017191834578426</v>
      </c>
      <c r="R145" s="2">
        <f>IF(S46-S50-S53-S78=0,0,(S56-S77)/(S46-S50-S53-S78)*100)</f>
        <v>13.988338980632589</v>
      </c>
      <c r="S145" s="2">
        <f>IF(T46-T50-T53-T78=0,0,(T56-T77)/(T46-T50-T53-T78)*100)</f>
        <v>-5.044748677765412</v>
      </c>
      <c r="U145" s="55" t="s">
        <v>1</v>
      </c>
      <c r="W145" s="55" t="s">
        <v>1</v>
      </c>
      <c r="Z145" s="55" t="s">
        <v>270</v>
      </c>
      <c r="AB145" s="65">
        <f aca="true" t="shared" si="121" ref="AB145:BP145">IF($BQ$105=0,0,IF(AB$124=0,0,1))</f>
        <v>0</v>
      </c>
      <c r="AC145" s="65">
        <f t="shared" si="121"/>
        <v>0</v>
      </c>
      <c r="AD145" s="65">
        <f t="shared" si="121"/>
        <v>0</v>
      </c>
      <c r="AE145" s="65">
        <f t="shared" si="121"/>
        <v>0</v>
      </c>
      <c r="AF145" s="65">
        <f t="shared" si="121"/>
        <v>0</v>
      </c>
      <c r="AG145" s="65">
        <f t="shared" si="121"/>
        <v>0</v>
      </c>
      <c r="AH145" s="65">
        <f t="shared" si="121"/>
        <v>0</v>
      </c>
      <c r="AI145" s="65">
        <f t="shared" si="121"/>
        <v>0</v>
      </c>
      <c r="AJ145" s="65">
        <f t="shared" si="121"/>
        <v>0</v>
      </c>
      <c r="AK145" s="65">
        <f t="shared" si="121"/>
        <v>0</v>
      </c>
      <c r="AL145" s="65">
        <f t="shared" si="121"/>
        <v>0</v>
      </c>
      <c r="AM145" s="65">
        <f t="shared" si="121"/>
        <v>0</v>
      </c>
      <c r="AN145" s="65">
        <f t="shared" si="121"/>
        <v>0</v>
      </c>
      <c r="AO145" s="65">
        <f t="shared" si="121"/>
        <v>0</v>
      </c>
      <c r="AP145" s="65">
        <f t="shared" si="121"/>
        <v>0</v>
      </c>
      <c r="AQ145" s="65">
        <f t="shared" si="121"/>
        <v>0</v>
      </c>
      <c r="AR145" s="65">
        <f t="shared" si="121"/>
        <v>0</v>
      </c>
      <c r="AS145" s="65">
        <f t="shared" si="121"/>
        <v>0</v>
      </c>
      <c r="AT145" s="65">
        <f t="shared" si="121"/>
        <v>0</v>
      </c>
      <c r="AU145" s="65">
        <f t="shared" si="121"/>
        <v>0</v>
      </c>
      <c r="AV145" s="65">
        <f t="shared" si="121"/>
        <v>0</v>
      </c>
      <c r="AW145" s="65">
        <f t="shared" si="121"/>
        <v>0</v>
      </c>
      <c r="AX145" s="65">
        <f t="shared" si="121"/>
        <v>0</v>
      </c>
      <c r="AY145" s="65">
        <f t="shared" si="121"/>
        <v>0</v>
      </c>
      <c r="AZ145" s="65">
        <f t="shared" si="121"/>
        <v>0</v>
      </c>
      <c r="BA145" s="65">
        <f t="shared" si="121"/>
        <v>0</v>
      </c>
      <c r="BB145" s="65">
        <f t="shared" si="121"/>
        <v>0</v>
      </c>
      <c r="BC145" s="65">
        <f t="shared" si="121"/>
        <v>0</v>
      </c>
      <c r="BD145" s="65">
        <f t="shared" si="121"/>
        <v>0</v>
      </c>
      <c r="BE145" s="65">
        <f t="shared" si="121"/>
        <v>0</v>
      </c>
      <c r="BF145" s="65">
        <f t="shared" si="121"/>
        <v>0</v>
      </c>
      <c r="BG145" s="65">
        <f t="shared" si="121"/>
        <v>0</v>
      </c>
      <c r="BH145" s="65">
        <f t="shared" si="121"/>
        <v>0</v>
      </c>
      <c r="BI145" s="65">
        <f t="shared" si="121"/>
        <v>0</v>
      </c>
      <c r="BJ145" s="65">
        <f t="shared" si="121"/>
        <v>0</v>
      </c>
      <c r="BK145" s="65">
        <f t="shared" si="121"/>
        <v>0</v>
      </c>
      <c r="BL145" s="65">
        <f t="shared" si="121"/>
        <v>0</v>
      </c>
      <c r="BM145" s="65">
        <f t="shared" si="121"/>
        <v>0</v>
      </c>
      <c r="BN145" s="65">
        <f t="shared" si="121"/>
        <v>0</v>
      </c>
      <c r="BO145" s="65">
        <f t="shared" si="121"/>
        <v>0</v>
      </c>
      <c r="BP145" s="65">
        <f t="shared" si="121"/>
        <v>0</v>
      </c>
      <c r="BU145" s="7"/>
      <c r="BW145" s="1"/>
      <c r="BX145" s="1"/>
      <c r="CD145" s="1"/>
      <c r="CE145" s="1"/>
      <c r="CF145" s="1"/>
      <c r="CG145" s="1"/>
      <c r="CH145" s="1"/>
      <c r="CI145" s="55" t="s">
        <v>1</v>
      </c>
      <c r="DJ145" s="369" t="s">
        <v>917</v>
      </c>
      <c r="DK145" s="463" t="s">
        <v>918</v>
      </c>
      <c r="DL145" s="369" t="s">
        <v>897</v>
      </c>
      <c r="DM145" s="369" t="s">
        <v>919</v>
      </c>
      <c r="DN145" s="369" t="s">
        <v>920</v>
      </c>
      <c r="DO145" s="462" t="s">
        <v>921</v>
      </c>
      <c r="DQ145" s="58" t="s">
        <v>231</v>
      </c>
    </row>
    <row r="146" spans="2:121" ht="19.5" customHeight="1">
      <c r="B146" s="110" t="s">
        <v>235</v>
      </c>
      <c r="C146" s="115"/>
      <c r="D146" s="65"/>
      <c r="E146" s="357">
        <v>3</v>
      </c>
      <c r="F146" s="500">
        <v>29.7</v>
      </c>
      <c r="G146" s="500">
        <v>26.81</v>
      </c>
      <c r="H146" s="501">
        <v>10794</v>
      </c>
      <c r="M146" s="58" t="s">
        <v>231</v>
      </c>
      <c r="N146" s="55" t="s">
        <v>1</v>
      </c>
      <c r="O146" s="55" t="s">
        <v>233</v>
      </c>
      <c r="Q146" s="2">
        <f>IF(R46-R50-R53-R78=0,0,(R88+R90)/(R46-R50-R53-R78)*100)</f>
        <v>0.23873065181685302</v>
      </c>
      <c r="R146" s="2">
        <f>IF(S46-S50-S53-S78=0,0,(S88+S90)/(S46-S50-S53-S78)*100)</f>
        <v>0.05214606491769617</v>
      </c>
      <c r="S146" s="2">
        <f>IF(T46-T50-T53-T78=0,0,(T88+T90)/(T46-T50-T53-T78)*100)</f>
        <v>0.029141457992824575</v>
      </c>
      <c r="U146" s="55" t="s">
        <v>1</v>
      </c>
      <c r="W146" s="55" t="s">
        <v>1</v>
      </c>
      <c r="AB146" s="65">
        <f aca="true" t="shared" si="122" ref="AB146:BP146">IF($BQ$106=0,0,IF(AB$124=0,0,1))</f>
        <v>0</v>
      </c>
      <c r="AC146" s="65">
        <f t="shared" si="122"/>
        <v>0</v>
      </c>
      <c r="AD146" s="65">
        <f t="shared" si="122"/>
        <v>0</v>
      </c>
      <c r="AE146" s="65">
        <f t="shared" si="122"/>
        <v>0</v>
      </c>
      <c r="AF146" s="65">
        <f t="shared" si="122"/>
        <v>0</v>
      </c>
      <c r="AG146" s="65">
        <f t="shared" si="122"/>
        <v>0</v>
      </c>
      <c r="AH146" s="65">
        <f t="shared" si="122"/>
        <v>0</v>
      </c>
      <c r="AI146" s="65">
        <f t="shared" si="122"/>
        <v>0</v>
      </c>
      <c r="AJ146" s="65">
        <f t="shared" si="122"/>
        <v>0</v>
      </c>
      <c r="AK146" s="65">
        <f t="shared" si="122"/>
        <v>0</v>
      </c>
      <c r="AL146" s="65">
        <f t="shared" si="122"/>
        <v>0</v>
      </c>
      <c r="AM146" s="65">
        <f t="shared" si="122"/>
        <v>0</v>
      </c>
      <c r="AN146" s="65">
        <f t="shared" si="122"/>
        <v>0</v>
      </c>
      <c r="AO146" s="65">
        <f t="shared" si="122"/>
        <v>0</v>
      </c>
      <c r="AP146" s="65">
        <f t="shared" si="122"/>
        <v>0</v>
      </c>
      <c r="AQ146" s="65">
        <f t="shared" si="122"/>
        <v>0</v>
      </c>
      <c r="AR146" s="65">
        <f t="shared" si="122"/>
        <v>0</v>
      </c>
      <c r="AS146" s="65">
        <f t="shared" si="122"/>
        <v>0</v>
      </c>
      <c r="AT146" s="65">
        <f t="shared" si="122"/>
        <v>0</v>
      </c>
      <c r="AU146" s="65">
        <f t="shared" si="122"/>
        <v>0</v>
      </c>
      <c r="AV146" s="65">
        <f t="shared" si="122"/>
        <v>0</v>
      </c>
      <c r="AW146" s="65">
        <f t="shared" si="122"/>
        <v>0</v>
      </c>
      <c r="AX146" s="65">
        <f t="shared" si="122"/>
        <v>0</v>
      </c>
      <c r="AY146" s="65">
        <f t="shared" si="122"/>
        <v>0</v>
      </c>
      <c r="AZ146" s="65">
        <f t="shared" si="122"/>
        <v>0</v>
      </c>
      <c r="BA146" s="65">
        <f t="shared" si="122"/>
        <v>0</v>
      </c>
      <c r="BB146" s="65">
        <f t="shared" si="122"/>
        <v>0</v>
      </c>
      <c r="BC146" s="65">
        <f t="shared" si="122"/>
        <v>0</v>
      </c>
      <c r="BD146" s="65">
        <f t="shared" si="122"/>
        <v>0</v>
      </c>
      <c r="BE146" s="65">
        <f t="shared" si="122"/>
        <v>0</v>
      </c>
      <c r="BF146" s="65">
        <f t="shared" si="122"/>
        <v>0</v>
      </c>
      <c r="BG146" s="65">
        <f t="shared" si="122"/>
        <v>0</v>
      </c>
      <c r="BH146" s="65">
        <f t="shared" si="122"/>
        <v>0</v>
      </c>
      <c r="BI146" s="65">
        <f t="shared" si="122"/>
        <v>0</v>
      </c>
      <c r="BJ146" s="65">
        <f t="shared" si="122"/>
        <v>0</v>
      </c>
      <c r="BK146" s="65">
        <f t="shared" si="122"/>
        <v>0</v>
      </c>
      <c r="BL146" s="65">
        <f t="shared" si="122"/>
        <v>0</v>
      </c>
      <c r="BM146" s="65">
        <f t="shared" si="122"/>
        <v>0</v>
      </c>
      <c r="BN146" s="65">
        <f t="shared" si="122"/>
        <v>0</v>
      </c>
      <c r="BO146" s="65">
        <f t="shared" si="122"/>
        <v>0</v>
      </c>
      <c r="BP146" s="65">
        <f t="shared" si="122"/>
        <v>0</v>
      </c>
      <c r="BQ146" s="7"/>
      <c r="BU146" s="7"/>
      <c r="BW146" s="1"/>
      <c r="BX146" s="1"/>
      <c r="CD146" s="1"/>
      <c r="CE146" s="1"/>
      <c r="CF146" s="1"/>
      <c r="CG146" s="1"/>
      <c r="CH146" s="1"/>
      <c r="CI146" s="55" t="s">
        <v>1</v>
      </c>
      <c r="DJ146" s="369" t="s">
        <v>922</v>
      </c>
      <c r="DK146" s="463" t="s">
        <v>923</v>
      </c>
      <c r="DL146" s="369" t="s">
        <v>897</v>
      </c>
      <c r="DM146" s="369" t="s">
        <v>924</v>
      </c>
      <c r="DN146" s="369" t="s">
        <v>925</v>
      </c>
      <c r="DO146" s="462" t="s">
        <v>926</v>
      </c>
      <c r="DQ146" s="58" t="s">
        <v>231</v>
      </c>
    </row>
    <row r="147" spans="2:121" ht="19.5" customHeight="1">
      <c r="B147" s="110" t="s">
        <v>336</v>
      </c>
      <c r="C147" s="115"/>
      <c r="D147" s="65"/>
      <c r="E147" s="357">
        <v>4</v>
      </c>
      <c r="F147" s="501">
        <v>73962.43</v>
      </c>
      <c r="G147" s="501">
        <v>73803.82</v>
      </c>
      <c r="H147" s="501">
        <v>63325</v>
      </c>
      <c r="M147" s="58" t="s">
        <v>231</v>
      </c>
      <c r="N147" s="55" t="s">
        <v>1</v>
      </c>
      <c r="O147" s="58" t="s">
        <v>482</v>
      </c>
      <c r="Q147" s="2">
        <f>IF(R30+R31+R32+R33=0,0,(R66/R10*12)/(R30+R31+R32+R33)*100)</f>
        <v>-27.00901989879496</v>
      </c>
      <c r="R147" s="2">
        <f>IF(S30+S31+S32+S33=0,0,(S66/S10*12)/(S30+S31+S32+S33)*100)</f>
        <v>7.351360794542619</v>
      </c>
      <c r="S147" s="2">
        <f>IF(T30+T31+T32+T33=0,0,(T66/T10*12)/(T30+T31+T32+T33)*100)</f>
        <v>15.270609161130036</v>
      </c>
      <c r="U147" s="55" t="s">
        <v>1</v>
      </c>
      <c r="W147" s="55" t="s">
        <v>1</v>
      </c>
      <c r="Z147" s="55" t="s">
        <v>271</v>
      </c>
      <c r="AB147" s="65">
        <f aca="true" t="shared" si="123" ref="AB147:BP147">IF($BQ$107=0,0,IF(AB$124=0,0,1))</f>
        <v>0</v>
      </c>
      <c r="AC147" s="65">
        <f t="shared" si="123"/>
        <v>0</v>
      </c>
      <c r="AD147" s="65">
        <f t="shared" si="123"/>
        <v>0</v>
      </c>
      <c r="AE147" s="65">
        <f t="shared" si="123"/>
        <v>0</v>
      </c>
      <c r="AF147" s="65">
        <f t="shared" si="123"/>
        <v>0</v>
      </c>
      <c r="AG147" s="65">
        <f t="shared" si="123"/>
        <v>0</v>
      </c>
      <c r="AH147" s="65">
        <f t="shared" si="123"/>
        <v>0</v>
      </c>
      <c r="AI147" s="65">
        <f t="shared" si="123"/>
        <v>0</v>
      </c>
      <c r="AJ147" s="65">
        <f t="shared" si="123"/>
        <v>0</v>
      </c>
      <c r="AK147" s="65">
        <f t="shared" si="123"/>
        <v>0</v>
      </c>
      <c r="AL147" s="65">
        <f t="shared" si="123"/>
        <v>0</v>
      </c>
      <c r="AM147" s="65">
        <f t="shared" si="123"/>
        <v>0</v>
      </c>
      <c r="AN147" s="65">
        <f t="shared" si="123"/>
        <v>0</v>
      </c>
      <c r="AO147" s="65">
        <f t="shared" si="123"/>
        <v>0</v>
      </c>
      <c r="AP147" s="65">
        <f t="shared" si="123"/>
        <v>0</v>
      </c>
      <c r="AQ147" s="65">
        <f t="shared" si="123"/>
        <v>0</v>
      </c>
      <c r="AR147" s="65">
        <f t="shared" si="123"/>
        <v>0</v>
      </c>
      <c r="AS147" s="65">
        <f t="shared" si="123"/>
        <v>0</v>
      </c>
      <c r="AT147" s="65">
        <f t="shared" si="123"/>
        <v>0</v>
      </c>
      <c r="AU147" s="65">
        <f t="shared" si="123"/>
        <v>0</v>
      </c>
      <c r="AV147" s="65">
        <f t="shared" si="123"/>
        <v>0</v>
      </c>
      <c r="AW147" s="65">
        <f t="shared" si="123"/>
        <v>0</v>
      </c>
      <c r="AX147" s="65">
        <f t="shared" si="123"/>
        <v>0</v>
      </c>
      <c r="AY147" s="65">
        <f t="shared" si="123"/>
        <v>0</v>
      </c>
      <c r="AZ147" s="65">
        <f t="shared" si="123"/>
        <v>0</v>
      </c>
      <c r="BA147" s="65">
        <f t="shared" si="123"/>
        <v>0</v>
      </c>
      <c r="BB147" s="65">
        <f t="shared" si="123"/>
        <v>0</v>
      </c>
      <c r="BC147" s="65">
        <f t="shared" si="123"/>
        <v>0</v>
      </c>
      <c r="BD147" s="65">
        <f t="shared" si="123"/>
        <v>0</v>
      </c>
      <c r="BE147" s="65">
        <f t="shared" si="123"/>
        <v>0</v>
      </c>
      <c r="BF147" s="65">
        <f t="shared" si="123"/>
        <v>0</v>
      </c>
      <c r="BG147" s="65">
        <f t="shared" si="123"/>
        <v>0</v>
      </c>
      <c r="BH147" s="65">
        <f t="shared" si="123"/>
        <v>0</v>
      </c>
      <c r="BI147" s="65">
        <f t="shared" si="123"/>
        <v>0</v>
      </c>
      <c r="BJ147" s="65">
        <f t="shared" si="123"/>
        <v>0</v>
      </c>
      <c r="BK147" s="65">
        <f t="shared" si="123"/>
        <v>0</v>
      </c>
      <c r="BL147" s="65">
        <f t="shared" si="123"/>
        <v>0</v>
      </c>
      <c r="BM147" s="65">
        <f t="shared" si="123"/>
        <v>0</v>
      </c>
      <c r="BN147" s="65">
        <f t="shared" si="123"/>
        <v>0</v>
      </c>
      <c r="BO147" s="65">
        <f t="shared" si="123"/>
        <v>0</v>
      </c>
      <c r="BP147" s="65">
        <f t="shared" si="123"/>
        <v>0</v>
      </c>
      <c r="BQ147" s="7"/>
      <c r="BU147" s="7"/>
      <c r="BW147" s="1"/>
      <c r="BX147" s="1"/>
      <c r="CD147" s="1"/>
      <c r="CE147" s="1"/>
      <c r="CF147" s="1"/>
      <c r="CG147" s="1"/>
      <c r="CH147" s="1"/>
      <c r="CI147" s="55" t="s">
        <v>1</v>
      </c>
      <c r="DJ147" s="369" t="s">
        <v>927</v>
      </c>
      <c r="DK147" s="461" t="s">
        <v>928</v>
      </c>
      <c r="DL147" s="369" t="s">
        <v>897</v>
      </c>
      <c r="DM147" s="369" t="s">
        <v>924</v>
      </c>
      <c r="DN147" s="369" t="s">
        <v>925</v>
      </c>
      <c r="DO147" s="462" t="s">
        <v>926</v>
      </c>
      <c r="DQ147" s="58" t="s">
        <v>231</v>
      </c>
    </row>
    <row r="148" spans="2:121" ht="19.5" customHeight="1">
      <c r="B148" s="110" t="s">
        <v>236</v>
      </c>
      <c r="C148" s="115"/>
      <c r="D148" s="65"/>
      <c r="E148" s="357">
        <v>6</v>
      </c>
      <c r="F148" s="500">
        <v>61.33</v>
      </c>
      <c r="G148" s="500">
        <v>57.91</v>
      </c>
      <c r="H148" s="501">
        <v>70091</v>
      </c>
      <c r="M148" s="58" t="s">
        <v>231</v>
      </c>
      <c r="N148" s="55" t="s">
        <v>1</v>
      </c>
      <c r="O148" s="55" t="s">
        <v>455</v>
      </c>
      <c r="Q148" s="2">
        <f>IF(R30+R33+R31+R32=0,0,(R66+R56-R79)/R10*12/(R30+R33+R31+R32)*100)</f>
        <v>-27.03430997024728</v>
      </c>
      <c r="R148" s="2">
        <f>IF(S30+S33+S31+S32=0,0,(S66+S56-S79)/S10*12/(S30+S33+S31+S32)*100)</f>
        <v>14.504141820797638</v>
      </c>
      <c r="S148" s="2">
        <f>IF(T30+T33+T31+T32=0,0,(T66+T56-T79)/T10*12/(T30+T33+T31+T32)*100)</f>
        <v>12.133000594573074</v>
      </c>
      <c r="T148" s="66"/>
      <c r="U148" s="55" t="s">
        <v>1</v>
      </c>
      <c r="W148" s="55" t="s">
        <v>1</v>
      </c>
      <c r="AB148" s="65">
        <f aca="true" t="shared" si="124" ref="AB148:BP148">IF($BQ$108=0,0,IF(AB$124=0,0,1))</f>
        <v>0</v>
      </c>
      <c r="AC148" s="65">
        <f t="shared" si="124"/>
        <v>0</v>
      </c>
      <c r="AD148" s="65">
        <f t="shared" si="124"/>
        <v>0</v>
      </c>
      <c r="AE148" s="65">
        <f t="shared" si="124"/>
        <v>0</v>
      </c>
      <c r="AF148" s="65">
        <f t="shared" si="124"/>
        <v>0</v>
      </c>
      <c r="AG148" s="65">
        <f t="shared" si="124"/>
        <v>0</v>
      </c>
      <c r="AH148" s="65">
        <f t="shared" si="124"/>
        <v>0</v>
      </c>
      <c r="AI148" s="65">
        <f t="shared" si="124"/>
        <v>0</v>
      </c>
      <c r="AJ148" s="65">
        <f t="shared" si="124"/>
        <v>0</v>
      </c>
      <c r="AK148" s="65">
        <f t="shared" si="124"/>
        <v>0</v>
      </c>
      <c r="AL148" s="65">
        <f t="shared" si="124"/>
        <v>0</v>
      </c>
      <c r="AM148" s="65">
        <f t="shared" si="124"/>
        <v>0</v>
      </c>
      <c r="AN148" s="65">
        <f t="shared" si="124"/>
        <v>0</v>
      </c>
      <c r="AO148" s="65">
        <f t="shared" si="124"/>
        <v>0</v>
      </c>
      <c r="AP148" s="65">
        <f t="shared" si="124"/>
        <v>0</v>
      </c>
      <c r="AQ148" s="65">
        <f t="shared" si="124"/>
        <v>0</v>
      </c>
      <c r="AR148" s="65">
        <f t="shared" si="124"/>
        <v>0</v>
      </c>
      <c r="AS148" s="65">
        <f t="shared" si="124"/>
        <v>0</v>
      </c>
      <c r="AT148" s="65">
        <f t="shared" si="124"/>
        <v>0</v>
      </c>
      <c r="AU148" s="65">
        <f t="shared" si="124"/>
        <v>0</v>
      </c>
      <c r="AV148" s="65">
        <f t="shared" si="124"/>
        <v>0</v>
      </c>
      <c r="AW148" s="65">
        <f t="shared" si="124"/>
        <v>0</v>
      </c>
      <c r="AX148" s="65">
        <f t="shared" si="124"/>
        <v>0</v>
      </c>
      <c r="AY148" s="65">
        <f t="shared" si="124"/>
        <v>0</v>
      </c>
      <c r="AZ148" s="65">
        <f t="shared" si="124"/>
        <v>0</v>
      </c>
      <c r="BA148" s="65">
        <f t="shared" si="124"/>
        <v>0</v>
      </c>
      <c r="BB148" s="65">
        <f t="shared" si="124"/>
        <v>0</v>
      </c>
      <c r="BC148" s="65">
        <f t="shared" si="124"/>
        <v>0</v>
      </c>
      <c r="BD148" s="65">
        <f t="shared" si="124"/>
        <v>0</v>
      </c>
      <c r="BE148" s="65">
        <f t="shared" si="124"/>
        <v>0</v>
      </c>
      <c r="BF148" s="65">
        <f t="shared" si="124"/>
        <v>0</v>
      </c>
      <c r="BG148" s="65">
        <f t="shared" si="124"/>
        <v>0</v>
      </c>
      <c r="BH148" s="65">
        <f t="shared" si="124"/>
        <v>0</v>
      </c>
      <c r="BI148" s="65">
        <f t="shared" si="124"/>
        <v>0</v>
      </c>
      <c r="BJ148" s="65">
        <f t="shared" si="124"/>
        <v>0</v>
      </c>
      <c r="BK148" s="65">
        <f t="shared" si="124"/>
        <v>0</v>
      </c>
      <c r="BL148" s="65">
        <f t="shared" si="124"/>
        <v>0</v>
      </c>
      <c r="BM148" s="65">
        <f t="shared" si="124"/>
        <v>0</v>
      </c>
      <c r="BN148" s="65">
        <f t="shared" si="124"/>
        <v>0</v>
      </c>
      <c r="BO148" s="65">
        <f t="shared" si="124"/>
        <v>0</v>
      </c>
      <c r="BP148" s="65">
        <f t="shared" si="124"/>
        <v>0</v>
      </c>
      <c r="BQ148" s="7"/>
      <c r="BU148" s="7"/>
      <c r="BW148" s="1"/>
      <c r="BX148" s="1"/>
      <c r="CD148" s="1"/>
      <c r="CE148" s="1"/>
      <c r="CF148" s="1"/>
      <c r="CG148" s="1"/>
      <c r="CH148" s="1"/>
      <c r="CI148" s="55" t="s">
        <v>1</v>
      </c>
      <c r="DJ148" s="369" t="s">
        <v>929</v>
      </c>
      <c r="DK148" s="461" t="s">
        <v>930</v>
      </c>
      <c r="DL148" s="369" t="s">
        <v>897</v>
      </c>
      <c r="DM148" s="369" t="s">
        <v>897</v>
      </c>
      <c r="DN148" s="369" t="s">
        <v>915</v>
      </c>
      <c r="DO148" s="462" t="s">
        <v>916</v>
      </c>
      <c r="DQ148" s="58" t="s">
        <v>231</v>
      </c>
    </row>
    <row r="149" spans="2:121" ht="19.5" customHeight="1">
      <c r="B149" s="110" t="s">
        <v>445</v>
      </c>
      <c r="E149" s="358">
        <v>7</v>
      </c>
      <c r="F149" s="498">
        <v>19.31</v>
      </c>
      <c r="G149" s="498">
        <v>17.79</v>
      </c>
      <c r="H149" s="499">
        <v>110779</v>
      </c>
      <c r="M149" s="58" t="s">
        <v>231</v>
      </c>
      <c r="N149" s="55" t="s">
        <v>1</v>
      </c>
      <c r="O149" s="55" t="s">
        <v>456</v>
      </c>
      <c r="Q149" s="2">
        <f>IF(R28=0,0,(R66+R75+R88+R90-R80)/R10*12/R28*100)</f>
        <v>-13.009684701479232</v>
      </c>
      <c r="R149" s="2">
        <f>IF(S28=0,0,(S66+S75+S88+S90-S80)/S10*12/S28*100)</f>
        <v>3.7607608035690068</v>
      </c>
      <c r="S149" s="2">
        <f>IF(T28=0,0,(T66+T75+T88+T90-T80)/T10*12/T28*100)</f>
        <v>7.623673051263266</v>
      </c>
      <c r="U149" s="55" t="s">
        <v>1</v>
      </c>
      <c r="W149" s="55" t="s">
        <v>1</v>
      </c>
      <c r="Z149" s="65" t="s">
        <v>272</v>
      </c>
      <c r="AA149" s="65"/>
      <c r="AB149" s="65">
        <f aca="true" t="shared" si="125" ref="AB149:BP149">IF($BQ$109=0,0,IF(AB$124=0,0,1))</f>
        <v>0</v>
      </c>
      <c r="AC149" s="65">
        <f t="shared" si="125"/>
        <v>0</v>
      </c>
      <c r="AD149" s="65">
        <f t="shared" si="125"/>
        <v>0</v>
      </c>
      <c r="AE149" s="65">
        <f t="shared" si="125"/>
        <v>0</v>
      </c>
      <c r="AF149" s="65">
        <f t="shared" si="125"/>
        <v>0</v>
      </c>
      <c r="AG149" s="65">
        <f t="shared" si="125"/>
        <v>0</v>
      </c>
      <c r="AH149" s="65">
        <f t="shared" si="125"/>
        <v>0</v>
      </c>
      <c r="AI149" s="65">
        <f t="shared" si="125"/>
        <v>0</v>
      </c>
      <c r="AJ149" s="65">
        <f t="shared" si="125"/>
        <v>0</v>
      </c>
      <c r="AK149" s="65">
        <f t="shared" si="125"/>
        <v>0</v>
      </c>
      <c r="AL149" s="65">
        <f t="shared" si="125"/>
        <v>0</v>
      </c>
      <c r="AM149" s="65">
        <f t="shared" si="125"/>
        <v>0</v>
      </c>
      <c r="AN149" s="65">
        <f t="shared" si="125"/>
        <v>0</v>
      </c>
      <c r="AO149" s="65">
        <f t="shared" si="125"/>
        <v>0</v>
      </c>
      <c r="AP149" s="65">
        <f t="shared" si="125"/>
        <v>0</v>
      </c>
      <c r="AQ149" s="65">
        <f t="shared" si="125"/>
        <v>0</v>
      </c>
      <c r="AR149" s="65">
        <f t="shared" si="125"/>
        <v>0</v>
      </c>
      <c r="AS149" s="65">
        <f t="shared" si="125"/>
        <v>0</v>
      </c>
      <c r="AT149" s="65">
        <f t="shared" si="125"/>
        <v>0</v>
      </c>
      <c r="AU149" s="65">
        <f t="shared" si="125"/>
        <v>0</v>
      </c>
      <c r="AV149" s="65">
        <f t="shared" si="125"/>
        <v>0</v>
      </c>
      <c r="AW149" s="65">
        <f t="shared" si="125"/>
        <v>0</v>
      </c>
      <c r="AX149" s="65">
        <f t="shared" si="125"/>
        <v>0</v>
      </c>
      <c r="AY149" s="65">
        <f t="shared" si="125"/>
        <v>0</v>
      </c>
      <c r="AZ149" s="65">
        <f t="shared" si="125"/>
        <v>0</v>
      </c>
      <c r="BA149" s="65">
        <f t="shared" si="125"/>
        <v>0</v>
      </c>
      <c r="BB149" s="65">
        <f t="shared" si="125"/>
        <v>0</v>
      </c>
      <c r="BC149" s="65">
        <f t="shared" si="125"/>
        <v>0</v>
      </c>
      <c r="BD149" s="65">
        <f t="shared" si="125"/>
        <v>0</v>
      </c>
      <c r="BE149" s="65">
        <f t="shared" si="125"/>
        <v>0</v>
      </c>
      <c r="BF149" s="65">
        <f t="shared" si="125"/>
        <v>0</v>
      </c>
      <c r="BG149" s="65">
        <f t="shared" si="125"/>
        <v>0</v>
      </c>
      <c r="BH149" s="65">
        <f t="shared" si="125"/>
        <v>0</v>
      </c>
      <c r="BI149" s="65">
        <f t="shared" si="125"/>
        <v>0</v>
      </c>
      <c r="BJ149" s="65">
        <f t="shared" si="125"/>
        <v>0</v>
      </c>
      <c r="BK149" s="65">
        <f t="shared" si="125"/>
        <v>0</v>
      </c>
      <c r="BL149" s="65">
        <f t="shared" si="125"/>
        <v>0</v>
      </c>
      <c r="BM149" s="65">
        <f t="shared" si="125"/>
        <v>0</v>
      </c>
      <c r="BN149" s="65">
        <f t="shared" si="125"/>
        <v>0</v>
      </c>
      <c r="BO149" s="65">
        <f t="shared" si="125"/>
        <v>0</v>
      </c>
      <c r="BP149" s="65">
        <f t="shared" si="125"/>
        <v>0</v>
      </c>
      <c r="BQ149" s="7"/>
      <c r="BU149" s="7"/>
      <c r="BW149" s="1"/>
      <c r="BX149" s="1"/>
      <c r="CD149" s="1"/>
      <c r="CE149" s="1"/>
      <c r="CF149" s="1"/>
      <c r="CG149" s="1"/>
      <c r="CH149" s="1"/>
      <c r="CI149" s="55" t="s">
        <v>1</v>
      </c>
      <c r="DJ149" s="369" t="s">
        <v>931</v>
      </c>
      <c r="DK149" s="461" t="s">
        <v>932</v>
      </c>
      <c r="DL149" s="369" t="s">
        <v>897</v>
      </c>
      <c r="DM149" s="369" t="s">
        <v>897</v>
      </c>
      <c r="DN149" s="369" t="s">
        <v>915</v>
      </c>
      <c r="DO149" s="462" t="s">
        <v>916</v>
      </c>
      <c r="DQ149" s="58" t="s">
        <v>231</v>
      </c>
    </row>
    <row r="150" spans="2:121" ht="19.5" customHeight="1">
      <c r="B150" s="110" t="s">
        <v>237</v>
      </c>
      <c r="C150" s="115"/>
      <c r="D150" s="65"/>
      <c r="E150" s="357">
        <v>8</v>
      </c>
      <c r="F150" s="500">
        <v>8.89</v>
      </c>
      <c r="G150" s="500">
        <v>3.61</v>
      </c>
      <c r="H150" s="501">
        <v>119803</v>
      </c>
      <c r="M150" s="58" t="s">
        <v>231</v>
      </c>
      <c r="N150" s="55" t="s">
        <v>1</v>
      </c>
      <c r="O150" s="55" t="s">
        <v>464</v>
      </c>
      <c r="Q150" s="3">
        <f>IF(R36+R37+R38+R39=0,0,(R22+R23+R24+R25+R26)/(R36+R37+R38+R39))</f>
        <v>2.8079399894722106</v>
      </c>
      <c r="R150" s="3">
        <f>IF(S36+S37+S38+S39=0,0,(S22+S23+S24+S25+S26)/(S36+S37+S38+S39))</f>
        <v>2.796957440558278</v>
      </c>
      <c r="S150" s="3">
        <f>IF(T36+T37+T38+T39=0,0,(T22+T23+T24+T25+T26)/(T36+T37+T38+T39))</f>
        <v>2.107243023342797</v>
      </c>
      <c r="U150" s="55" t="s">
        <v>1</v>
      </c>
      <c r="W150" s="55" t="s">
        <v>1</v>
      </c>
      <c r="AB150" s="65">
        <f aca="true" t="shared" si="126" ref="AB150:BP150">IF($BQ$110=0,0,IF(AB$124=0,0,1))</f>
        <v>0</v>
      </c>
      <c r="AC150" s="65">
        <f t="shared" si="126"/>
        <v>0</v>
      </c>
      <c r="AD150" s="65">
        <f t="shared" si="126"/>
        <v>0</v>
      </c>
      <c r="AE150" s="65">
        <f t="shared" si="126"/>
        <v>0</v>
      </c>
      <c r="AF150" s="65">
        <f t="shared" si="126"/>
        <v>0</v>
      </c>
      <c r="AG150" s="65">
        <f t="shared" si="126"/>
        <v>0</v>
      </c>
      <c r="AH150" s="65">
        <f t="shared" si="126"/>
        <v>0</v>
      </c>
      <c r="AI150" s="65">
        <f t="shared" si="126"/>
        <v>0</v>
      </c>
      <c r="AJ150" s="65">
        <f t="shared" si="126"/>
        <v>0</v>
      </c>
      <c r="AK150" s="65">
        <f t="shared" si="126"/>
        <v>0</v>
      </c>
      <c r="AL150" s="65">
        <f t="shared" si="126"/>
        <v>0</v>
      </c>
      <c r="AM150" s="65">
        <f t="shared" si="126"/>
        <v>0</v>
      </c>
      <c r="AN150" s="65">
        <f t="shared" si="126"/>
        <v>0</v>
      </c>
      <c r="AO150" s="65">
        <f t="shared" si="126"/>
        <v>0</v>
      </c>
      <c r="AP150" s="65">
        <f t="shared" si="126"/>
        <v>0</v>
      </c>
      <c r="AQ150" s="65">
        <f t="shared" si="126"/>
        <v>0</v>
      </c>
      <c r="AR150" s="65">
        <f t="shared" si="126"/>
        <v>0</v>
      </c>
      <c r="AS150" s="65">
        <f t="shared" si="126"/>
        <v>0</v>
      </c>
      <c r="AT150" s="65">
        <f t="shared" si="126"/>
        <v>0</v>
      </c>
      <c r="AU150" s="65">
        <f t="shared" si="126"/>
        <v>0</v>
      </c>
      <c r="AV150" s="65">
        <f t="shared" si="126"/>
        <v>0</v>
      </c>
      <c r="AW150" s="65">
        <f t="shared" si="126"/>
        <v>0</v>
      </c>
      <c r="AX150" s="65">
        <f t="shared" si="126"/>
        <v>0</v>
      </c>
      <c r="AY150" s="65">
        <f t="shared" si="126"/>
        <v>0</v>
      </c>
      <c r="AZ150" s="65">
        <f t="shared" si="126"/>
        <v>0</v>
      </c>
      <c r="BA150" s="65">
        <f t="shared" si="126"/>
        <v>0</v>
      </c>
      <c r="BB150" s="65">
        <f t="shared" si="126"/>
        <v>0</v>
      </c>
      <c r="BC150" s="65">
        <f t="shared" si="126"/>
        <v>0</v>
      </c>
      <c r="BD150" s="65">
        <f t="shared" si="126"/>
        <v>0</v>
      </c>
      <c r="BE150" s="65">
        <f t="shared" si="126"/>
        <v>0</v>
      </c>
      <c r="BF150" s="65">
        <f t="shared" si="126"/>
        <v>0</v>
      </c>
      <c r="BG150" s="65">
        <f t="shared" si="126"/>
        <v>0</v>
      </c>
      <c r="BH150" s="65">
        <f t="shared" si="126"/>
        <v>0</v>
      </c>
      <c r="BI150" s="65">
        <f t="shared" si="126"/>
        <v>0</v>
      </c>
      <c r="BJ150" s="65">
        <f t="shared" si="126"/>
        <v>0</v>
      </c>
      <c r="BK150" s="65">
        <f t="shared" si="126"/>
        <v>0</v>
      </c>
      <c r="BL150" s="65">
        <f t="shared" si="126"/>
        <v>0</v>
      </c>
      <c r="BM150" s="65">
        <f t="shared" si="126"/>
        <v>0</v>
      </c>
      <c r="BN150" s="65">
        <f t="shared" si="126"/>
        <v>0</v>
      </c>
      <c r="BO150" s="65">
        <f t="shared" si="126"/>
        <v>0</v>
      </c>
      <c r="BP150" s="65">
        <f t="shared" si="126"/>
        <v>0</v>
      </c>
      <c r="BQ150" s="7"/>
      <c r="BU150" s="7"/>
      <c r="BW150" s="1"/>
      <c r="BX150" s="1"/>
      <c r="CD150" s="1"/>
      <c r="CE150" s="1"/>
      <c r="CF150" s="1"/>
      <c r="CG150" s="1"/>
      <c r="CH150" s="1"/>
      <c r="CI150" s="55" t="s">
        <v>1</v>
      </c>
      <c r="DJ150" s="369" t="s">
        <v>933</v>
      </c>
      <c r="DK150" s="461" t="s">
        <v>934</v>
      </c>
      <c r="DL150" s="369" t="s">
        <v>897</v>
      </c>
      <c r="DM150" s="369" t="s">
        <v>897</v>
      </c>
      <c r="DN150" s="369" t="s">
        <v>915</v>
      </c>
      <c r="DO150" s="462" t="s">
        <v>916</v>
      </c>
      <c r="DQ150" s="58" t="s">
        <v>231</v>
      </c>
    </row>
    <row r="151" spans="2:121" ht="19.5" customHeight="1">
      <c r="B151" s="110" t="s">
        <v>480</v>
      </c>
      <c r="C151" s="115"/>
      <c r="D151" s="65"/>
      <c r="E151" s="357">
        <v>9</v>
      </c>
      <c r="F151" s="500">
        <v>6.55</v>
      </c>
      <c r="G151" s="500">
        <v>10.01</v>
      </c>
      <c r="H151" s="501">
        <v>124968</v>
      </c>
      <c r="M151" s="58" t="s">
        <v>231</v>
      </c>
      <c r="N151" s="55" t="s">
        <v>1</v>
      </c>
      <c r="O151" s="55" t="s">
        <v>2251</v>
      </c>
      <c r="Q151" s="3">
        <f>IF(R23+R96=0,0,(R23+R96)/((R47+R71-R78+R95)/R10*12)*365)</f>
        <v>82.65391876797439</v>
      </c>
      <c r="R151" s="3">
        <f>IF(S23+S96=0,0,(S23+S96)/((S47+S71-S78+S95)/S10*12)*365)</f>
        <v>79.63025993625443</v>
      </c>
      <c r="S151" s="3">
        <f>IF(T23+T96=0,0,(T23+T96)/((T47+T71-T78+T95)/T10*12)*365)</f>
        <v>75.8486138661254</v>
      </c>
      <c r="U151" s="55" t="s">
        <v>1</v>
      </c>
      <c r="W151" s="55" t="s">
        <v>1</v>
      </c>
      <c r="Z151" s="55" t="s">
        <v>273</v>
      </c>
      <c r="AB151" s="65">
        <f aca="true" t="shared" si="127" ref="AB151:BP151">IF($BQ$111=0,0,IF(AB$124=0,0,1))</f>
        <v>0</v>
      </c>
      <c r="AC151" s="65">
        <f t="shared" si="127"/>
        <v>0</v>
      </c>
      <c r="AD151" s="65">
        <f t="shared" si="127"/>
        <v>0</v>
      </c>
      <c r="AE151" s="65">
        <f t="shared" si="127"/>
        <v>0</v>
      </c>
      <c r="AF151" s="65">
        <f t="shared" si="127"/>
        <v>0</v>
      </c>
      <c r="AG151" s="65">
        <f t="shared" si="127"/>
        <v>0</v>
      </c>
      <c r="AH151" s="65">
        <f t="shared" si="127"/>
        <v>0</v>
      </c>
      <c r="AI151" s="65">
        <f t="shared" si="127"/>
        <v>0</v>
      </c>
      <c r="AJ151" s="65">
        <f t="shared" si="127"/>
        <v>0</v>
      </c>
      <c r="AK151" s="65">
        <f t="shared" si="127"/>
        <v>0</v>
      </c>
      <c r="AL151" s="65">
        <f t="shared" si="127"/>
        <v>0</v>
      </c>
      <c r="AM151" s="65">
        <f t="shared" si="127"/>
        <v>0</v>
      </c>
      <c r="AN151" s="65">
        <f t="shared" si="127"/>
        <v>0</v>
      </c>
      <c r="AO151" s="65">
        <f t="shared" si="127"/>
        <v>0</v>
      </c>
      <c r="AP151" s="65">
        <f t="shared" si="127"/>
        <v>0</v>
      </c>
      <c r="AQ151" s="65">
        <f t="shared" si="127"/>
        <v>0</v>
      </c>
      <c r="AR151" s="65">
        <f t="shared" si="127"/>
        <v>0</v>
      </c>
      <c r="AS151" s="65">
        <f t="shared" si="127"/>
        <v>0</v>
      </c>
      <c r="AT151" s="65">
        <f t="shared" si="127"/>
        <v>0</v>
      </c>
      <c r="AU151" s="65">
        <f t="shared" si="127"/>
        <v>0</v>
      </c>
      <c r="AV151" s="65">
        <f t="shared" si="127"/>
        <v>0</v>
      </c>
      <c r="AW151" s="65">
        <f t="shared" si="127"/>
        <v>0</v>
      </c>
      <c r="AX151" s="65">
        <f t="shared" si="127"/>
        <v>0</v>
      </c>
      <c r="AY151" s="65">
        <f t="shared" si="127"/>
        <v>0</v>
      </c>
      <c r="AZ151" s="65">
        <f t="shared" si="127"/>
        <v>0</v>
      </c>
      <c r="BA151" s="65">
        <f t="shared" si="127"/>
        <v>0</v>
      </c>
      <c r="BB151" s="65">
        <f t="shared" si="127"/>
        <v>0</v>
      </c>
      <c r="BC151" s="65">
        <f t="shared" si="127"/>
        <v>0</v>
      </c>
      <c r="BD151" s="65">
        <f t="shared" si="127"/>
        <v>0</v>
      </c>
      <c r="BE151" s="65">
        <f t="shared" si="127"/>
        <v>0</v>
      </c>
      <c r="BF151" s="65">
        <f t="shared" si="127"/>
        <v>0</v>
      </c>
      <c r="BG151" s="65">
        <f t="shared" si="127"/>
        <v>0</v>
      </c>
      <c r="BH151" s="65">
        <f t="shared" si="127"/>
        <v>0</v>
      </c>
      <c r="BI151" s="65">
        <f t="shared" si="127"/>
        <v>0</v>
      </c>
      <c r="BJ151" s="65">
        <f t="shared" si="127"/>
        <v>0</v>
      </c>
      <c r="BK151" s="65">
        <f t="shared" si="127"/>
        <v>0</v>
      </c>
      <c r="BL151" s="65">
        <f t="shared" si="127"/>
        <v>0</v>
      </c>
      <c r="BM151" s="65">
        <f t="shared" si="127"/>
        <v>0</v>
      </c>
      <c r="BN151" s="65">
        <f t="shared" si="127"/>
        <v>0</v>
      </c>
      <c r="BO151" s="65">
        <f t="shared" si="127"/>
        <v>0</v>
      </c>
      <c r="BP151" s="65">
        <f t="shared" si="127"/>
        <v>0</v>
      </c>
      <c r="BQ151" s="7"/>
      <c r="BU151" s="7"/>
      <c r="BW151" s="1"/>
      <c r="BX151" s="1"/>
      <c r="CD151" s="1"/>
      <c r="CE151" s="1"/>
      <c r="CF151" s="1"/>
      <c r="CG151" s="1"/>
      <c r="CH151" s="1"/>
      <c r="CI151" s="55" t="s">
        <v>1</v>
      </c>
      <c r="DJ151" s="369" t="s">
        <v>935</v>
      </c>
      <c r="DK151" s="461" t="s">
        <v>936</v>
      </c>
      <c r="DL151" s="369" t="s">
        <v>897</v>
      </c>
      <c r="DM151" s="369" t="s">
        <v>897</v>
      </c>
      <c r="DN151" s="369" t="s">
        <v>915</v>
      </c>
      <c r="DO151" s="462" t="s">
        <v>916</v>
      </c>
      <c r="DQ151" s="58" t="s">
        <v>231</v>
      </c>
    </row>
    <row r="152" spans="2:121" ht="19.5" customHeight="1">
      <c r="B152" s="110" t="s">
        <v>238</v>
      </c>
      <c r="C152" s="115"/>
      <c r="D152" s="65"/>
      <c r="E152" s="357">
        <v>10</v>
      </c>
      <c r="F152" s="500">
        <v>13.86</v>
      </c>
      <c r="G152" s="500">
        <v>21.32</v>
      </c>
      <c r="H152" s="501">
        <v>125029</v>
      </c>
      <c r="M152" s="58" t="s">
        <v>231</v>
      </c>
      <c r="N152" s="55" t="s">
        <v>1</v>
      </c>
      <c r="O152" s="55" t="s">
        <v>2252</v>
      </c>
      <c r="Q152" s="3">
        <f>IF(R51+R53+R94=0,0,R37/((R51+R53+R94)/R10*12)*365)</f>
        <v>97.21814496478225</v>
      </c>
      <c r="R152" s="3">
        <f>IF(S51+S53+S94=0,0,S37/((S51+S53+S94)/S10*12)*365)</f>
        <v>143.88333158440037</v>
      </c>
      <c r="S152" s="3">
        <f>IF(T51+T53+T94=0,0,T37/((T51+T53+T94)/T10*12)*365)</f>
        <v>126.85409474966714</v>
      </c>
      <c r="U152" s="55" t="s">
        <v>1</v>
      </c>
      <c r="W152" s="55" t="s">
        <v>1</v>
      </c>
      <c r="AB152" s="65">
        <f aca="true" t="shared" si="128" ref="AB152:BP152">IF($BQ$112=0,0,IF(AB$124=0,0,1))</f>
        <v>0</v>
      </c>
      <c r="AC152" s="65">
        <f t="shared" si="128"/>
        <v>0</v>
      </c>
      <c r="AD152" s="65">
        <f t="shared" si="128"/>
        <v>0</v>
      </c>
      <c r="AE152" s="65">
        <f t="shared" si="128"/>
        <v>0</v>
      </c>
      <c r="AF152" s="65">
        <f t="shared" si="128"/>
        <v>0</v>
      </c>
      <c r="AG152" s="65">
        <f t="shared" si="128"/>
        <v>0</v>
      </c>
      <c r="AH152" s="65">
        <f t="shared" si="128"/>
        <v>0</v>
      </c>
      <c r="AI152" s="65">
        <f t="shared" si="128"/>
        <v>0</v>
      </c>
      <c r="AJ152" s="65">
        <f t="shared" si="128"/>
        <v>0</v>
      </c>
      <c r="AK152" s="65">
        <f t="shared" si="128"/>
        <v>0</v>
      </c>
      <c r="AL152" s="65">
        <f t="shared" si="128"/>
        <v>0</v>
      </c>
      <c r="AM152" s="65">
        <f t="shared" si="128"/>
        <v>0</v>
      </c>
      <c r="AN152" s="65">
        <f t="shared" si="128"/>
        <v>0</v>
      </c>
      <c r="AO152" s="65">
        <f t="shared" si="128"/>
        <v>0</v>
      </c>
      <c r="AP152" s="65">
        <f t="shared" si="128"/>
        <v>0</v>
      </c>
      <c r="AQ152" s="65">
        <f t="shared" si="128"/>
        <v>0</v>
      </c>
      <c r="AR152" s="65">
        <f t="shared" si="128"/>
        <v>0</v>
      </c>
      <c r="AS152" s="65">
        <f t="shared" si="128"/>
        <v>0</v>
      </c>
      <c r="AT152" s="65">
        <f t="shared" si="128"/>
        <v>0</v>
      </c>
      <c r="AU152" s="65">
        <f t="shared" si="128"/>
        <v>0</v>
      </c>
      <c r="AV152" s="65">
        <f t="shared" si="128"/>
        <v>0</v>
      </c>
      <c r="AW152" s="65">
        <f t="shared" si="128"/>
        <v>0</v>
      </c>
      <c r="AX152" s="65">
        <f t="shared" si="128"/>
        <v>0</v>
      </c>
      <c r="AY152" s="65">
        <f t="shared" si="128"/>
        <v>0</v>
      </c>
      <c r="AZ152" s="65">
        <f t="shared" si="128"/>
        <v>0</v>
      </c>
      <c r="BA152" s="65">
        <f t="shared" si="128"/>
        <v>0</v>
      </c>
      <c r="BB152" s="65">
        <f t="shared" si="128"/>
        <v>0</v>
      </c>
      <c r="BC152" s="65">
        <f t="shared" si="128"/>
        <v>0</v>
      </c>
      <c r="BD152" s="65">
        <f t="shared" si="128"/>
        <v>0</v>
      </c>
      <c r="BE152" s="65">
        <f t="shared" si="128"/>
        <v>0</v>
      </c>
      <c r="BF152" s="65">
        <f t="shared" si="128"/>
        <v>0</v>
      </c>
      <c r="BG152" s="65">
        <f t="shared" si="128"/>
        <v>0</v>
      </c>
      <c r="BH152" s="65">
        <f t="shared" si="128"/>
        <v>0</v>
      </c>
      <c r="BI152" s="65">
        <f t="shared" si="128"/>
        <v>0</v>
      </c>
      <c r="BJ152" s="65">
        <f t="shared" si="128"/>
        <v>0</v>
      </c>
      <c r="BK152" s="65">
        <f t="shared" si="128"/>
        <v>0</v>
      </c>
      <c r="BL152" s="65">
        <f t="shared" si="128"/>
        <v>0</v>
      </c>
      <c r="BM152" s="65">
        <f t="shared" si="128"/>
        <v>0</v>
      </c>
      <c r="BN152" s="65">
        <f t="shared" si="128"/>
        <v>0</v>
      </c>
      <c r="BO152" s="65">
        <f t="shared" si="128"/>
        <v>0</v>
      </c>
      <c r="BP152" s="65">
        <f t="shared" si="128"/>
        <v>0</v>
      </c>
      <c r="BQ152" s="7"/>
      <c r="BU152" s="7"/>
      <c r="BW152" s="1"/>
      <c r="BX152" s="1"/>
      <c r="CD152" s="1"/>
      <c r="CE152" s="1"/>
      <c r="CF152" s="1"/>
      <c r="CG152" s="1"/>
      <c r="CH152" s="1"/>
      <c r="CI152" s="55" t="s">
        <v>1</v>
      </c>
      <c r="DJ152" s="369" t="s">
        <v>937</v>
      </c>
      <c r="DK152" s="461" t="s">
        <v>938</v>
      </c>
      <c r="DL152" s="369" t="s">
        <v>897</v>
      </c>
      <c r="DM152" s="369" t="s">
        <v>897</v>
      </c>
      <c r="DN152" s="369" t="s">
        <v>915</v>
      </c>
      <c r="DO152" s="462" t="s">
        <v>916</v>
      </c>
      <c r="DQ152" s="58" t="s">
        <v>231</v>
      </c>
    </row>
    <row r="153" spans="2:121" ht="19.5" customHeight="1">
      <c r="B153" s="110" t="s">
        <v>239</v>
      </c>
      <c r="C153" s="115"/>
      <c r="D153" s="65"/>
      <c r="E153" s="357">
        <v>12</v>
      </c>
      <c r="F153" s="500">
        <v>5.43</v>
      </c>
      <c r="G153" s="500">
        <v>5.38</v>
      </c>
      <c r="H153" s="501">
        <v>141336</v>
      </c>
      <c r="M153" s="58" t="s">
        <v>231</v>
      </c>
      <c r="N153" s="55" t="s">
        <v>1</v>
      </c>
      <c r="O153" s="55" t="s">
        <v>117</v>
      </c>
      <c r="Q153" s="2">
        <f>IF(R41=0,0,(R30+R33+R31+R32)/R41*100)</f>
        <v>48.24963832796468</v>
      </c>
      <c r="R153" s="2">
        <f>IF(S41=0,0,(S30+S33+S31+S32)/S41*100)</f>
        <v>50.96562935031864</v>
      </c>
      <c r="S153" s="2">
        <f>IF(T41=0,0,(T30+T33+T31+T32)/T41*100)</f>
        <v>44.98158122245035</v>
      </c>
      <c r="U153" s="55" t="s">
        <v>1</v>
      </c>
      <c r="W153" s="55" t="s">
        <v>1</v>
      </c>
      <c r="Z153" s="55" t="s">
        <v>274</v>
      </c>
      <c r="AB153" s="65">
        <f aca="true" t="shared" si="129" ref="AB153:BP153">IF($BQ$113=0,0,IF(AB$124=0,0,1))</f>
        <v>0</v>
      </c>
      <c r="AC153" s="65">
        <f t="shared" si="129"/>
        <v>0</v>
      </c>
      <c r="AD153" s="65">
        <f t="shared" si="129"/>
        <v>0</v>
      </c>
      <c r="AE153" s="65">
        <f t="shared" si="129"/>
        <v>0</v>
      </c>
      <c r="AF153" s="65">
        <f t="shared" si="129"/>
        <v>0</v>
      </c>
      <c r="AG153" s="65">
        <f t="shared" si="129"/>
        <v>0</v>
      </c>
      <c r="AH153" s="65">
        <f t="shared" si="129"/>
        <v>0</v>
      </c>
      <c r="AI153" s="65">
        <f t="shared" si="129"/>
        <v>0</v>
      </c>
      <c r="AJ153" s="65">
        <f t="shared" si="129"/>
        <v>0</v>
      </c>
      <c r="AK153" s="65">
        <f t="shared" si="129"/>
        <v>0</v>
      </c>
      <c r="AL153" s="65">
        <f t="shared" si="129"/>
        <v>0</v>
      </c>
      <c r="AM153" s="65">
        <f t="shared" si="129"/>
        <v>0</v>
      </c>
      <c r="AN153" s="65">
        <f t="shared" si="129"/>
        <v>0</v>
      </c>
      <c r="AO153" s="65">
        <f t="shared" si="129"/>
        <v>0</v>
      </c>
      <c r="AP153" s="65">
        <f t="shared" si="129"/>
        <v>0</v>
      </c>
      <c r="AQ153" s="65">
        <f t="shared" si="129"/>
        <v>0</v>
      </c>
      <c r="AR153" s="65">
        <f t="shared" si="129"/>
        <v>0</v>
      </c>
      <c r="AS153" s="65">
        <f t="shared" si="129"/>
        <v>0</v>
      </c>
      <c r="AT153" s="65">
        <f t="shared" si="129"/>
        <v>0</v>
      </c>
      <c r="AU153" s="65">
        <f t="shared" si="129"/>
        <v>0</v>
      </c>
      <c r="AV153" s="65">
        <f t="shared" si="129"/>
        <v>0</v>
      </c>
      <c r="AW153" s="65">
        <f t="shared" si="129"/>
        <v>0</v>
      </c>
      <c r="AX153" s="65">
        <f t="shared" si="129"/>
        <v>0</v>
      </c>
      <c r="AY153" s="65">
        <f t="shared" si="129"/>
        <v>0</v>
      </c>
      <c r="AZ153" s="65">
        <f t="shared" si="129"/>
        <v>0</v>
      </c>
      <c r="BA153" s="65">
        <f t="shared" si="129"/>
        <v>0</v>
      </c>
      <c r="BB153" s="65">
        <f t="shared" si="129"/>
        <v>0</v>
      </c>
      <c r="BC153" s="65">
        <f t="shared" si="129"/>
        <v>0</v>
      </c>
      <c r="BD153" s="65">
        <f t="shared" si="129"/>
        <v>0</v>
      </c>
      <c r="BE153" s="65">
        <f t="shared" si="129"/>
        <v>0</v>
      </c>
      <c r="BF153" s="65">
        <f t="shared" si="129"/>
        <v>0</v>
      </c>
      <c r="BG153" s="65">
        <f t="shared" si="129"/>
        <v>0</v>
      </c>
      <c r="BH153" s="65">
        <f t="shared" si="129"/>
        <v>0</v>
      </c>
      <c r="BI153" s="65">
        <f t="shared" si="129"/>
        <v>0</v>
      </c>
      <c r="BJ153" s="65">
        <f t="shared" si="129"/>
        <v>0</v>
      </c>
      <c r="BK153" s="65">
        <f t="shared" si="129"/>
        <v>0</v>
      </c>
      <c r="BL153" s="65">
        <f t="shared" si="129"/>
        <v>0</v>
      </c>
      <c r="BM153" s="65">
        <f t="shared" si="129"/>
        <v>0</v>
      </c>
      <c r="BN153" s="65">
        <f t="shared" si="129"/>
        <v>0</v>
      </c>
      <c r="BO153" s="65">
        <f t="shared" si="129"/>
        <v>0</v>
      </c>
      <c r="BP153" s="65">
        <f t="shared" si="129"/>
        <v>0</v>
      </c>
      <c r="BQ153" s="7"/>
      <c r="BU153" s="7"/>
      <c r="BW153" s="1"/>
      <c r="BX153" s="1"/>
      <c r="CD153" s="1"/>
      <c r="CE153" s="1"/>
      <c r="CF153" s="1"/>
      <c r="CG153" s="1"/>
      <c r="CH153" s="1"/>
      <c r="CI153" s="55" t="s">
        <v>1</v>
      </c>
      <c r="DJ153" s="369" t="s">
        <v>939</v>
      </c>
      <c r="DK153" s="461" t="s">
        <v>940</v>
      </c>
      <c r="DL153" s="369" t="s">
        <v>897</v>
      </c>
      <c r="DM153" s="369" t="s">
        <v>941</v>
      </c>
      <c r="DN153" s="369" t="s">
        <v>942</v>
      </c>
      <c r="DO153" s="462" t="s">
        <v>24</v>
      </c>
      <c r="DQ153" s="58" t="s">
        <v>231</v>
      </c>
    </row>
    <row r="154" spans="2:121" ht="19.5" customHeight="1">
      <c r="B154" s="110" t="s">
        <v>240</v>
      </c>
      <c r="C154" s="115"/>
      <c r="D154" s="65"/>
      <c r="E154" s="357">
        <v>13</v>
      </c>
      <c r="F154" s="502">
        <v>1.35</v>
      </c>
      <c r="G154" s="502">
        <v>1.39</v>
      </c>
      <c r="H154" s="501">
        <v>140294</v>
      </c>
      <c r="M154" s="58" t="s">
        <v>231</v>
      </c>
      <c r="N154" s="55" t="s">
        <v>1</v>
      </c>
      <c r="O154" s="59" t="s">
        <v>0</v>
      </c>
      <c r="P154" s="59" t="s">
        <v>0</v>
      </c>
      <c r="Q154" s="59" t="s">
        <v>0</v>
      </c>
      <c r="R154" s="59" t="s">
        <v>0</v>
      </c>
      <c r="S154" s="59" t="s">
        <v>0</v>
      </c>
      <c r="T154" s="59" t="s">
        <v>0</v>
      </c>
      <c r="U154" s="55" t="s">
        <v>1</v>
      </c>
      <c r="W154" s="55" t="s">
        <v>1</v>
      </c>
      <c r="AB154" s="65">
        <f aca="true" t="shared" si="130" ref="AB154:BP154">IF($BQ$114=0,0,IF(AB$124=0,0,1))</f>
        <v>0</v>
      </c>
      <c r="AC154" s="65">
        <f t="shared" si="130"/>
        <v>0</v>
      </c>
      <c r="AD154" s="65">
        <f t="shared" si="130"/>
        <v>0</v>
      </c>
      <c r="AE154" s="65">
        <f t="shared" si="130"/>
        <v>0</v>
      </c>
      <c r="AF154" s="65">
        <f t="shared" si="130"/>
        <v>0</v>
      </c>
      <c r="AG154" s="65">
        <f t="shared" si="130"/>
        <v>0</v>
      </c>
      <c r="AH154" s="65">
        <f t="shared" si="130"/>
        <v>0</v>
      </c>
      <c r="AI154" s="65">
        <f t="shared" si="130"/>
        <v>0</v>
      </c>
      <c r="AJ154" s="65">
        <f t="shared" si="130"/>
        <v>0</v>
      </c>
      <c r="AK154" s="65">
        <f t="shared" si="130"/>
        <v>0</v>
      </c>
      <c r="AL154" s="65">
        <f t="shared" si="130"/>
        <v>0</v>
      </c>
      <c r="AM154" s="65">
        <f t="shared" si="130"/>
        <v>0</v>
      </c>
      <c r="AN154" s="65">
        <f t="shared" si="130"/>
        <v>0</v>
      </c>
      <c r="AO154" s="65">
        <f t="shared" si="130"/>
        <v>0</v>
      </c>
      <c r="AP154" s="65">
        <f t="shared" si="130"/>
        <v>0</v>
      </c>
      <c r="AQ154" s="65">
        <f t="shared" si="130"/>
        <v>0</v>
      </c>
      <c r="AR154" s="65">
        <f t="shared" si="130"/>
        <v>0</v>
      </c>
      <c r="AS154" s="65">
        <f t="shared" si="130"/>
        <v>0</v>
      </c>
      <c r="AT154" s="65">
        <f t="shared" si="130"/>
        <v>0</v>
      </c>
      <c r="AU154" s="65">
        <f t="shared" si="130"/>
        <v>0</v>
      </c>
      <c r="AV154" s="65">
        <f t="shared" si="130"/>
        <v>0</v>
      </c>
      <c r="AW154" s="65">
        <f t="shared" si="130"/>
        <v>0</v>
      </c>
      <c r="AX154" s="65">
        <f t="shared" si="130"/>
        <v>0</v>
      </c>
      <c r="AY154" s="65">
        <f t="shared" si="130"/>
        <v>0</v>
      </c>
      <c r="AZ154" s="65">
        <f t="shared" si="130"/>
        <v>0</v>
      </c>
      <c r="BA154" s="65">
        <f t="shared" si="130"/>
        <v>0</v>
      </c>
      <c r="BB154" s="65">
        <f t="shared" si="130"/>
        <v>0</v>
      </c>
      <c r="BC154" s="65">
        <f t="shared" si="130"/>
        <v>0</v>
      </c>
      <c r="BD154" s="65">
        <f t="shared" si="130"/>
        <v>0</v>
      </c>
      <c r="BE154" s="65">
        <f t="shared" si="130"/>
        <v>0</v>
      </c>
      <c r="BF154" s="65">
        <f t="shared" si="130"/>
        <v>0</v>
      </c>
      <c r="BG154" s="65">
        <f t="shared" si="130"/>
        <v>0</v>
      </c>
      <c r="BH154" s="65">
        <f t="shared" si="130"/>
        <v>0</v>
      </c>
      <c r="BI154" s="65">
        <f t="shared" si="130"/>
        <v>0</v>
      </c>
      <c r="BJ154" s="65">
        <f t="shared" si="130"/>
        <v>0</v>
      </c>
      <c r="BK154" s="65">
        <f t="shared" si="130"/>
        <v>0</v>
      </c>
      <c r="BL154" s="65">
        <f t="shared" si="130"/>
        <v>0</v>
      </c>
      <c r="BM154" s="65">
        <f t="shared" si="130"/>
        <v>0</v>
      </c>
      <c r="BN154" s="65">
        <f t="shared" si="130"/>
        <v>0</v>
      </c>
      <c r="BO154" s="65">
        <f t="shared" si="130"/>
        <v>0</v>
      </c>
      <c r="BP154" s="65">
        <f t="shared" si="130"/>
        <v>0</v>
      </c>
      <c r="BQ154" s="7"/>
      <c r="BU154" s="7"/>
      <c r="BW154" s="1"/>
      <c r="BX154" s="1"/>
      <c r="CD154" s="1"/>
      <c r="CE154" s="1"/>
      <c r="CF154" s="1"/>
      <c r="CG154" s="1"/>
      <c r="CH154" s="1"/>
      <c r="CI154" s="55" t="s">
        <v>1</v>
      </c>
      <c r="DJ154" s="369" t="s">
        <v>943</v>
      </c>
      <c r="DK154" s="461" t="s">
        <v>944</v>
      </c>
      <c r="DL154" s="369" t="s">
        <v>897</v>
      </c>
      <c r="DM154" s="369" t="s">
        <v>941</v>
      </c>
      <c r="DN154" s="369" t="s">
        <v>942</v>
      </c>
      <c r="DO154" s="462" t="s">
        <v>24</v>
      </c>
      <c r="DQ154" s="58" t="s">
        <v>231</v>
      </c>
    </row>
    <row r="155" spans="2:121" ht="19.5" customHeight="1">
      <c r="B155" s="110" t="s">
        <v>2243</v>
      </c>
      <c r="C155" s="115"/>
      <c r="D155" s="65"/>
      <c r="E155" s="357">
        <v>17</v>
      </c>
      <c r="F155" s="503">
        <v>67.15</v>
      </c>
      <c r="G155" s="503">
        <v>33.29</v>
      </c>
      <c r="H155" s="501">
        <v>10032</v>
      </c>
      <c r="M155" s="58" t="s">
        <v>231</v>
      </c>
      <c r="N155" s="55" t="s">
        <v>1</v>
      </c>
      <c r="O155" s="55" t="s">
        <v>364</v>
      </c>
      <c r="Q155" s="55" t="s">
        <v>319</v>
      </c>
      <c r="R155" s="62" t="s">
        <v>2256</v>
      </c>
      <c r="S155" s="55" t="s">
        <v>242</v>
      </c>
      <c r="U155" s="55" t="s">
        <v>1</v>
      </c>
      <c r="W155" s="55" t="s">
        <v>1</v>
      </c>
      <c r="Z155" s="55" t="s">
        <v>275</v>
      </c>
      <c r="AB155" s="65">
        <f aca="true" t="shared" si="131" ref="AB155:BP155">IF($BQ$115=0,0,IF(AB$124=0,0,1))</f>
        <v>0</v>
      </c>
      <c r="AC155" s="65">
        <f t="shared" si="131"/>
        <v>0</v>
      </c>
      <c r="AD155" s="65">
        <f t="shared" si="131"/>
        <v>0</v>
      </c>
      <c r="AE155" s="65">
        <f t="shared" si="131"/>
        <v>0</v>
      </c>
      <c r="AF155" s="65">
        <f t="shared" si="131"/>
        <v>0</v>
      </c>
      <c r="AG155" s="65">
        <f t="shared" si="131"/>
        <v>0</v>
      </c>
      <c r="AH155" s="65">
        <f t="shared" si="131"/>
        <v>0</v>
      </c>
      <c r="AI155" s="65">
        <f t="shared" si="131"/>
        <v>0</v>
      </c>
      <c r="AJ155" s="65">
        <f t="shared" si="131"/>
        <v>0</v>
      </c>
      <c r="AK155" s="65">
        <f t="shared" si="131"/>
        <v>0</v>
      </c>
      <c r="AL155" s="65">
        <f t="shared" si="131"/>
        <v>0</v>
      </c>
      <c r="AM155" s="65">
        <f t="shared" si="131"/>
        <v>0</v>
      </c>
      <c r="AN155" s="65">
        <f t="shared" si="131"/>
        <v>0</v>
      </c>
      <c r="AO155" s="65">
        <f t="shared" si="131"/>
        <v>0</v>
      </c>
      <c r="AP155" s="65">
        <f t="shared" si="131"/>
        <v>0</v>
      </c>
      <c r="AQ155" s="65">
        <f t="shared" si="131"/>
        <v>0</v>
      </c>
      <c r="AR155" s="65">
        <f t="shared" si="131"/>
        <v>0</v>
      </c>
      <c r="AS155" s="65">
        <f t="shared" si="131"/>
        <v>0</v>
      </c>
      <c r="AT155" s="65">
        <f t="shared" si="131"/>
        <v>0</v>
      </c>
      <c r="AU155" s="65">
        <f t="shared" si="131"/>
        <v>0</v>
      </c>
      <c r="AV155" s="65">
        <f t="shared" si="131"/>
        <v>0</v>
      </c>
      <c r="AW155" s="65">
        <f t="shared" si="131"/>
        <v>0</v>
      </c>
      <c r="AX155" s="65">
        <f t="shared" si="131"/>
        <v>0</v>
      </c>
      <c r="AY155" s="65">
        <f t="shared" si="131"/>
        <v>0</v>
      </c>
      <c r="AZ155" s="65">
        <f t="shared" si="131"/>
        <v>0</v>
      </c>
      <c r="BA155" s="65">
        <f t="shared" si="131"/>
        <v>0</v>
      </c>
      <c r="BB155" s="65">
        <f t="shared" si="131"/>
        <v>0</v>
      </c>
      <c r="BC155" s="65">
        <f t="shared" si="131"/>
        <v>0</v>
      </c>
      <c r="BD155" s="65">
        <f t="shared" si="131"/>
        <v>0</v>
      </c>
      <c r="BE155" s="65">
        <f t="shared" si="131"/>
        <v>0</v>
      </c>
      <c r="BF155" s="65">
        <f t="shared" si="131"/>
        <v>0</v>
      </c>
      <c r="BG155" s="65">
        <f t="shared" si="131"/>
        <v>0</v>
      </c>
      <c r="BH155" s="65">
        <f t="shared" si="131"/>
        <v>0</v>
      </c>
      <c r="BI155" s="65">
        <f t="shared" si="131"/>
        <v>0</v>
      </c>
      <c r="BJ155" s="65">
        <f t="shared" si="131"/>
        <v>0</v>
      </c>
      <c r="BK155" s="65">
        <f t="shared" si="131"/>
        <v>0</v>
      </c>
      <c r="BL155" s="65">
        <f t="shared" si="131"/>
        <v>0</v>
      </c>
      <c r="BM155" s="65">
        <f t="shared" si="131"/>
        <v>0</v>
      </c>
      <c r="BN155" s="65">
        <f t="shared" si="131"/>
        <v>0</v>
      </c>
      <c r="BO155" s="65">
        <f t="shared" si="131"/>
        <v>0</v>
      </c>
      <c r="BP155" s="65">
        <f t="shared" si="131"/>
        <v>0</v>
      </c>
      <c r="BQ155" s="7"/>
      <c r="BU155" s="7"/>
      <c r="BV155" s="1"/>
      <c r="BW155" s="1"/>
      <c r="BX155" s="1"/>
      <c r="CD155" s="1"/>
      <c r="CE155" s="1"/>
      <c r="CF155" s="1"/>
      <c r="CG155" s="1"/>
      <c r="CH155" s="1"/>
      <c r="CI155" s="55" t="s">
        <v>1</v>
      </c>
      <c r="DJ155" s="369" t="s">
        <v>945</v>
      </c>
      <c r="DK155" s="461" t="s">
        <v>946</v>
      </c>
      <c r="DL155" s="369" t="s">
        <v>947</v>
      </c>
      <c r="DM155" s="369" t="s">
        <v>947</v>
      </c>
      <c r="DN155" s="369" t="s">
        <v>948</v>
      </c>
      <c r="DO155" s="462" t="s">
        <v>949</v>
      </c>
      <c r="DQ155" s="58" t="s">
        <v>231</v>
      </c>
    </row>
    <row r="156" spans="2:121" ht="19.5" customHeight="1">
      <c r="B156" s="110" t="s">
        <v>2244</v>
      </c>
      <c r="C156" s="115"/>
      <c r="D156" s="65"/>
      <c r="E156" s="357">
        <v>18</v>
      </c>
      <c r="F156" s="503">
        <v>86.87</v>
      </c>
      <c r="G156" s="503">
        <v>37.6</v>
      </c>
      <c r="H156" s="501">
        <v>11335</v>
      </c>
      <c r="M156" s="58" t="s">
        <v>231</v>
      </c>
      <c r="N156" s="55" t="s">
        <v>1</v>
      </c>
      <c r="O156" s="59" t="s">
        <v>3</v>
      </c>
      <c r="Q156" s="59" t="s">
        <v>3</v>
      </c>
      <c r="R156" s="59" t="s">
        <v>3</v>
      </c>
      <c r="S156" s="59" t="s">
        <v>3</v>
      </c>
      <c r="U156" s="55" t="s">
        <v>1</v>
      </c>
      <c r="W156" s="55" t="s">
        <v>1</v>
      </c>
      <c r="AB156" s="65">
        <f aca="true" t="shared" si="132" ref="AB156:BP156">IF($BQ$116=0,0,IF(AB$124=0,0,1))</f>
        <v>0</v>
      </c>
      <c r="AC156" s="65">
        <f t="shared" si="132"/>
        <v>0</v>
      </c>
      <c r="AD156" s="65">
        <f t="shared" si="132"/>
        <v>0</v>
      </c>
      <c r="AE156" s="65">
        <f t="shared" si="132"/>
        <v>0</v>
      </c>
      <c r="AF156" s="65">
        <f t="shared" si="132"/>
        <v>0</v>
      </c>
      <c r="AG156" s="65">
        <f t="shared" si="132"/>
        <v>0</v>
      </c>
      <c r="AH156" s="65">
        <f t="shared" si="132"/>
        <v>0</v>
      </c>
      <c r="AI156" s="65">
        <f t="shared" si="132"/>
        <v>0</v>
      </c>
      <c r="AJ156" s="65">
        <f t="shared" si="132"/>
        <v>0</v>
      </c>
      <c r="AK156" s="65">
        <f t="shared" si="132"/>
        <v>0</v>
      </c>
      <c r="AL156" s="65">
        <f t="shared" si="132"/>
        <v>0</v>
      </c>
      <c r="AM156" s="65">
        <f t="shared" si="132"/>
        <v>0</v>
      </c>
      <c r="AN156" s="65">
        <f t="shared" si="132"/>
        <v>0</v>
      </c>
      <c r="AO156" s="65">
        <f t="shared" si="132"/>
        <v>0</v>
      </c>
      <c r="AP156" s="65">
        <f t="shared" si="132"/>
        <v>0</v>
      </c>
      <c r="AQ156" s="65">
        <f t="shared" si="132"/>
        <v>0</v>
      </c>
      <c r="AR156" s="65">
        <f t="shared" si="132"/>
        <v>0</v>
      </c>
      <c r="AS156" s="65">
        <f t="shared" si="132"/>
        <v>0</v>
      </c>
      <c r="AT156" s="65">
        <f t="shared" si="132"/>
        <v>0</v>
      </c>
      <c r="AU156" s="65">
        <f t="shared" si="132"/>
        <v>0</v>
      </c>
      <c r="AV156" s="65">
        <f t="shared" si="132"/>
        <v>0</v>
      </c>
      <c r="AW156" s="65">
        <f t="shared" si="132"/>
        <v>0</v>
      </c>
      <c r="AX156" s="65">
        <f t="shared" si="132"/>
        <v>0</v>
      </c>
      <c r="AY156" s="65">
        <f t="shared" si="132"/>
        <v>0</v>
      </c>
      <c r="AZ156" s="65">
        <f t="shared" si="132"/>
        <v>0</v>
      </c>
      <c r="BA156" s="65">
        <f t="shared" si="132"/>
        <v>0</v>
      </c>
      <c r="BB156" s="65">
        <f t="shared" si="132"/>
        <v>0</v>
      </c>
      <c r="BC156" s="65">
        <f t="shared" si="132"/>
        <v>0</v>
      </c>
      <c r="BD156" s="65">
        <f t="shared" si="132"/>
        <v>0</v>
      </c>
      <c r="BE156" s="65">
        <f t="shared" si="132"/>
        <v>0</v>
      </c>
      <c r="BF156" s="65">
        <f t="shared" si="132"/>
        <v>0</v>
      </c>
      <c r="BG156" s="65">
        <f t="shared" si="132"/>
        <v>0</v>
      </c>
      <c r="BH156" s="65">
        <f t="shared" si="132"/>
        <v>0</v>
      </c>
      <c r="BI156" s="65">
        <f t="shared" si="132"/>
        <v>0</v>
      </c>
      <c r="BJ156" s="65">
        <f t="shared" si="132"/>
        <v>0</v>
      </c>
      <c r="BK156" s="65">
        <f t="shared" si="132"/>
        <v>0</v>
      </c>
      <c r="BL156" s="65">
        <f t="shared" si="132"/>
        <v>0</v>
      </c>
      <c r="BM156" s="65">
        <f t="shared" si="132"/>
        <v>0</v>
      </c>
      <c r="BN156" s="65">
        <f t="shared" si="132"/>
        <v>0</v>
      </c>
      <c r="BO156" s="65">
        <f t="shared" si="132"/>
        <v>0</v>
      </c>
      <c r="BP156" s="65">
        <f t="shared" si="132"/>
        <v>0</v>
      </c>
      <c r="BQ156" s="7"/>
      <c r="BU156" s="7"/>
      <c r="BV156" s="1"/>
      <c r="BW156" s="1"/>
      <c r="BX156" s="1"/>
      <c r="CD156" s="1"/>
      <c r="CE156" s="1"/>
      <c r="CF156" s="1"/>
      <c r="CG156" s="1"/>
      <c r="CH156" s="1"/>
      <c r="CI156" s="55" t="s">
        <v>1</v>
      </c>
      <c r="DJ156" s="369" t="s">
        <v>950</v>
      </c>
      <c r="DK156" s="461" t="s">
        <v>951</v>
      </c>
      <c r="DL156" s="369" t="s">
        <v>947</v>
      </c>
      <c r="DM156" s="369" t="s">
        <v>947</v>
      </c>
      <c r="DN156" s="369" t="s">
        <v>948</v>
      </c>
      <c r="DO156" s="462" t="s">
        <v>949</v>
      </c>
      <c r="DQ156" s="58" t="s">
        <v>231</v>
      </c>
    </row>
    <row r="157" spans="2:121" ht="19.5" customHeight="1">
      <c r="B157" s="110" t="s">
        <v>241</v>
      </c>
      <c r="C157" s="115"/>
      <c r="D157" s="65"/>
      <c r="E157" s="357">
        <v>19</v>
      </c>
      <c r="F157" s="498">
        <v>46.67</v>
      </c>
      <c r="G157" s="500">
        <v>38.94</v>
      </c>
      <c r="H157" s="501">
        <v>141490</v>
      </c>
      <c r="I157" s="124"/>
      <c r="J157" s="54"/>
      <c r="M157" s="58" t="s">
        <v>231</v>
      </c>
      <c r="N157" s="55" t="s">
        <v>1</v>
      </c>
      <c r="O157" s="57" t="s">
        <v>454</v>
      </c>
      <c r="Q157" s="2">
        <f aca="true" t="shared" si="133" ref="Q157:S169">IF(Q104=0,Q124,Q104)</f>
        <v>5.7</v>
      </c>
      <c r="R157" s="2">
        <f t="shared" si="133"/>
        <v>3.3</v>
      </c>
      <c r="S157" s="49">
        <f t="shared" si="133"/>
        <v>276</v>
      </c>
      <c r="U157" s="55" t="s">
        <v>1</v>
      </c>
      <c r="W157" s="55" t="s">
        <v>1</v>
      </c>
      <c r="Z157" s="55" t="s">
        <v>276</v>
      </c>
      <c r="AB157" s="65">
        <f aca="true" t="shared" si="134" ref="AB157:BP157">IF($BQ$117=0,0,IF(AB$124=0,0,1))</f>
        <v>0</v>
      </c>
      <c r="AC157" s="65">
        <f t="shared" si="134"/>
        <v>0</v>
      </c>
      <c r="AD157" s="65">
        <f t="shared" si="134"/>
        <v>0</v>
      </c>
      <c r="AE157" s="65">
        <f t="shared" si="134"/>
        <v>0</v>
      </c>
      <c r="AF157" s="65">
        <f t="shared" si="134"/>
        <v>0</v>
      </c>
      <c r="AG157" s="65">
        <f t="shared" si="134"/>
        <v>0</v>
      </c>
      <c r="AH157" s="65">
        <f t="shared" si="134"/>
        <v>0</v>
      </c>
      <c r="AI157" s="65">
        <f t="shared" si="134"/>
        <v>0</v>
      </c>
      <c r="AJ157" s="65">
        <f t="shared" si="134"/>
        <v>0</v>
      </c>
      <c r="AK157" s="65">
        <f t="shared" si="134"/>
        <v>0</v>
      </c>
      <c r="AL157" s="65">
        <f t="shared" si="134"/>
        <v>0</v>
      </c>
      <c r="AM157" s="65">
        <f t="shared" si="134"/>
        <v>0</v>
      </c>
      <c r="AN157" s="65">
        <f t="shared" si="134"/>
        <v>0</v>
      </c>
      <c r="AO157" s="65">
        <f t="shared" si="134"/>
        <v>0</v>
      </c>
      <c r="AP157" s="65">
        <f t="shared" si="134"/>
        <v>0</v>
      </c>
      <c r="AQ157" s="65">
        <f t="shared" si="134"/>
        <v>0</v>
      </c>
      <c r="AR157" s="65">
        <f t="shared" si="134"/>
        <v>0</v>
      </c>
      <c r="AS157" s="65">
        <f t="shared" si="134"/>
        <v>0</v>
      </c>
      <c r="AT157" s="65">
        <f t="shared" si="134"/>
        <v>0</v>
      </c>
      <c r="AU157" s="65">
        <f t="shared" si="134"/>
        <v>0</v>
      </c>
      <c r="AV157" s="65">
        <f t="shared" si="134"/>
        <v>0</v>
      </c>
      <c r="AW157" s="65">
        <f t="shared" si="134"/>
        <v>0</v>
      </c>
      <c r="AX157" s="65">
        <f t="shared" si="134"/>
        <v>0</v>
      </c>
      <c r="AY157" s="65">
        <f t="shared" si="134"/>
        <v>0</v>
      </c>
      <c r="AZ157" s="65">
        <f t="shared" si="134"/>
        <v>0</v>
      </c>
      <c r="BA157" s="65">
        <f t="shared" si="134"/>
        <v>0</v>
      </c>
      <c r="BB157" s="65">
        <f t="shared" si="134"/>
        <v>0</v>
      </c>
      <c r="BC157" s="65">
        <f t="shared" si="134"/>
        <v>0</v>
      </c>
      <c r="BD157" s="65">
        <f t="shared" si="134"/>
        <v>0</v>
      </c>
      <c r="BE157" s="65">
        <f t="shared" si="134"/>
        <v>0</v>
      </c>
      <c r="BF157" s="65">
        <f t="shared" si="134"/>
        <v>0</v>
      </c>
      <c r="BG157" s="65">
        <f t="shared" si="134"/>
        <v>0</v>
      </c>
      <c r="BH157" s="65">
        <f t="shared" si="134"/>
        <v>0</v>
      </c>
      <c r="BI157" s="65">
        <f t="shared" si="134"/>
        <v>0</v>
      </c>
      <c r="BJ157" s="65">
        <f t="shared" si="134"/>
        <v>0</v>
      </c>
      <c r="BK157" s="65">
        <f t="shared" si="134"/>
        <v>0</v>
      </c>
      <c r="BL157" s="65">
        <f t="shared" si="134"/>
        <v>0</v>
      </c>
      <c r="BM157" s="65">
        <f t="shared" si="134"/>
        <v>0</v>
      </c>
      <c r="BN157" s="65">
        <f t="shared" si="134"/>
        <v>0</v>
      </c>
      <c r="BO157" s="65">
        <f t="shared" si="134"/>
        <v>0</v>
      </c>
      <c r="BP157" s="65">
        <f t="shared" si="134"/>
        <v>0</v>
      </c>
      <c r="BQ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55" t="s">
        <v>1</v>
      </c>
      <c r="DJ157" s="369" t="s">
        <v>952</v>
      </c>
      <c r="DK157" s="461" t="s">
        <v>2221</v>
      </c>
      <c r="DL157" s="369" t="s">
        <v>947</v>
      </c>
      <c r="DM157" s="369" t="s">
        <v>953</v>
      </c>
      <c r="DN157" s="369" t="s">
        <v>954</v>
      </c>
      <c r="DO157" s="462" t="s">
        <v>955</v>
      </c>
      <c r="DQ157" s="58" t="s">
        <v>231</v>
      </c>
    </row>
    <row r="158" spans="2:121" ht="19.5" customHeight="1">
      <c r="B158" s="424" t="s">
        <v>2404</v>
      </c>
      <c r="C158" s="54"/>
      <c r="D158" s="54"/>
      <c r="E158" s="54"/>
      <c r="F158" s="54"/>
      <c r="G158" s="54"/>
      <c r="H158" s="54"/>
      <c r="I158" s="60"/>
      <c r="J158" s="160" t="s">
        <v>231</v>
      </c>
      <c r="M158" s="58" t="s">
        <v>231</v>
      </c>
      <c r="N158" s="55" t="s">
        <v>1</v>
      </c>
      <c r="O158" s="55" t="s">
        <v>468</v>
      </c>
      <c r="Q158" s="2">
        <f t="shared" si="133"/>
        <v>28.9</v>
      </c>
      <c r="R158" s="2">
        <f t="shared" si="133"/>
        <v>24.1</v>
      </c>
      <c r="S158" s="49">
        <f t="shared" si="133"/>
        <v>275</v>
      </c>
      <c r="U158" s="55" t="s">
        <v>1</v>
      </c>
      <c r="W158" s="55" t="s">
        <v>1</v>
      </c>
      <c r="AB158" s="65">
        <f aca="true" t="shared" si="135" ref="AB158:BP158">IF($BQ$118=0,0,IF(AB$124=0,0,1))</f>
        <v>0</v>
      </c>
      <c r="AC158" s="65">
        <f t="shared" si="135"/>
        <v>0</v>
      </c>
      <c r="AD158" s="65">
        <f t="shared" si="135"/>
        <v>0</v>
      </c>
      <c r="AE158" s="65">
        <f t="shared" si="135"/>
        <v>0</v>
      </c>
      <c r="AF158" s="65">
        <f t="shared" si="135"/>
        <v>0</v>
      </c>
      <c r="AG158" s="65">
        <f t="shared" si="135"/>
        <v>0</v>
      </c>
      <c r="AH158" s="65">
        <f t="shared" si="135"/>
        <v>0</v>
      </c>
      <c r="AI158" s="65">
        <f t="shared" si="135"/>
        <v>0</v>
      </c>
      <c r="AJ158" s="65">
        <f t="shared" si="135"/>
        <v>0</v>
      </c>
      <c r="AK158" s="65">
        <f t="shared" si="135"/>
        <v>0</v>
      </c>
      <c r="AL158" s="65">
        <f t="shared" si="135"/>
        <v>0</v>
      </c>
      <c r="AM158" s="65">
        <f t="shared" si="135"/>
        <v>0</v>
      </c>
      <c r="AN158" s="65">
        <f t="shared" si="135"/>
        <v>0</v>
      </c>
      <c r="AO158" s="65">
        <f t="shared" si="135"/>
        <v>0</v>
      </c>
      <c r="AP158" s="65">
        <f t="shared" si="135"/>
        <v>0</v>
      </c>
      <c r="AQ158" s="65">
        <f t="shared" si="135"/>
        <v>0</v>
      </c>
      <c r="AR158" s="65">
        <f t="shared" si="135"/>
        <v>0</v>
      </c>
      <c r="AS158" s="65">
        <f t="shared" si="135"/>
        <v>0</v>
      </c>
      <c r="AT158" s="65">
        <f t="shared" si="135"/>
        <v>0</v>
      </c>
      <c r="AU158" s="65">
        <f t="shared" si="135"/>
        <v>0</v>
      </c>
      <c r="AV158" s="65">
        <f t="shared" si="135"/>
        <v>0</v>
      </c>
      <c r="AW158" s="65">
        <f t="shared" si="135"/>
        <v>0</v>
      </c>
      <c r="AX158" s="65">
        <f t="shared" si="135"/>
        <v>0</v>
      </c>
      <c r="AY158" s="65">
        <f t="shared" si="135"/>
        <v>0</v>
      </c>
      <c r="AZ158" s="65">
        <f t="shared" si="135"/>
        <v>0</v>
      </c>
      <c r="BA158" s="65">
        <f t="shared" si="135"/>
        <v>0</v>
      </c>
      <c r="BB158" s="65">
        <f t="shared" si="135"/>
        <v>0</v>
      </c>
      <c r="BC158" s="65">
        <f t="shared" si="135"/>
        <v>0</v>
      </c>
      <c r="BD158" s="65">
        <f t="shared" si="135"/>
        <v>0</v>
      </c>
      <c r="BE158" s="65">
        <f t="shared" si="135"/>
        <v>0</v>
      </c>
      <c r="BF158" s="65">
        <f t="shared" si="135"/>
        <v>0</v>
      </c>
      <c r="BG158" s="65">
        <f t="shared" si="135"/>
        <v>0</v>
      </c>
      <c r="BH158" s="65">
        <f t="shared" si="135"/>
        <v>0</v>
      </c>
      <c r="BI158" s="65">
        <f t="shared" si="135"/>
        <v>0</v>
      </c>
      <c r="BJ158" s="65">
        <f t="shared" si="135"/>
        <v>0</v>
      </c>
      <c r="BK158" s="65">
        <f t="shared" si="135"/>
        <v>0</v>
      </c>
      <c r="BL158" s="65">
        <f t="shared" si="135"/>
        <v>0</v>
      </c>
      <c r="BM158" s="65">
        <f t="shared" si="135"/>
        <v>0</v>
      </c>
      <c r="BN158" s="65">
        <f t="shared" si="135"/>
        <v>0</v>
      </c>
      <c r="BO158" s="65">
        <f t="shared" si="135"/>
        <v>0</v>
      </c>
      <c r="BP158" s="65">
        <f t="shared" si="135"/>
        <v>0</v>
      </c>
      <c r="BQ158" s="7"/>
      <c r="CI158" s="55" t="s">
        <v>1</v>
      </c>
      <c r="DJ158" s="369" t="s">
        <v>956</v>
      </c>
      <c r="DK158" s="461" t="s">
        <v>957</v>
      </c>
      <c r="DL158" s="369" t="s">
        <v>947</v>
      </c>
      <c r="DM158" s="369" t="s">
        <v>953</v>
      </c>
      <c r="DN158" s="369" t="s">
        <v>954</v>
      </c>
      <c r="DO158" s="462" t="s">
        <v>955</v>
      </c>
      <c r="DQ158" s="58" t="s">
        <v>231</v>
      </c>
    </row>
    <row r="159" spans="2:121" ht="19.5" customHeight="1" thickBot="1">
      <c r="B159" s="424" t="s">
        <v>2404</v>
      </c>
      <c r="I159" s="123"/>
      <c r="J159" s="487" t="s">
        <v>231</v>
      </c>
      <c r="M159" s="58" t="s">
        <v>231</v>
      </c>
      <c r="N159" s="55" t="s">
        <v>1</v>
      </c>
      <c r="O159" s="55" t="s">
        <v>457</v>
      </c>
      <c r="Q159" s="51">
        <f t="shared" si="133"/>
        <v>135.16</v>
      </c>
      <c r="R159" s="51">
        <f t="shared" si="133"/>
        <v>100</v>
      </c>
      <c r="S159" s="49">
        <f t="shared" si="133"/>
        <v>261</v>
      </c>
      <c r="U159" s="55" t="s">
        <v>1</v>
      </c>
      <c r="W159" s="55" t="s">
        <v>1</v>
      </c>
      <c r="Z159" s="55" t="s">
        <v>277</v>
      </c>
      <c r="AB159" s="65">
        <f aca="true" t="shared" si="136" ref="AB159:BP159">IF($BQ$119=0,0,IF(AB$124=0,0,1))</f>
        <v>0</v>
      </c>
      <c r="AC159" s="65">
        <f t="shared" si="136"/>
        <v>0</v>
      </c>
      <c r="AD159" s="65">
        <f t="shared" si="136"/>
        <v>0</v>
      </c>
      <c r="AE159" s="65">
        <f t="shared" si="136"/>
        <v>0</v>
      </c>
      <c r="AF159" s="65">
        <f t="shared" si="136"/>
        <v>0</v>
      </c>
      <c r="AG159" s="65">
        <f t="shared" si="136"/>
        <v>0</v>
      </c>
      <c r="AH159" s="65">
        <f t="shared" si="136"/>
        <v>0</v>
      </c>
      <c r="AI159" s="65">
        <f t="shared" si="136"/>
        <v>0</v>
      </c>
      <c r="AJ159" s="65">
        <f t="shared" si="136"/>
        <v>0</v>
      </c>
      <c r="AK159" s="65">
        <f t="shared" si="136"/>
        <v>0</v>
      </c>
      <c r="AL159" s="65">
        <f t="shared" si="136"/>
        <v>0</v>
      </c>
      <c r="AM159" s="65">
        <f t="shared" si="136"/>
        <v>0</v>
      </c>
      <c r="AN159" s="65">
        <f t="shared" si="136"/>
        <v>0</v>
      </c>
      <c r="AO159" s="65">
        <f t="shared" si="136"/>
        <v>0</v>
      </c>
      <c r="AP159" s="65">
        <f t="shared" si="136"/>
        <v>0</v>
      </c>
      <c r="AQ159" s="65">
        <f t="shared" si="136"/>
        <v>0</v>
      </c>
      <c r="AR159" s="65">
        <f t="shared" si="136"/>
        <v>0</v>
      </c>
      <c r="AS159" s="65">
        <f t="shared" si="136"/>
        <v>0</v>
      </c>
      <c r="AT159" s="65">
        <f t="shared" si="136"/>
        <v>0</v>
      </c>
      <c r="AU159" s="65">
        <f t="shared" si="136"/>
        <v>0</v>
      </c>
      <c r="AV159" s="65">
        <f t="shared" si="136"/>
        <v>0</v>
      </c>
      <c r="AW159" s="65">
        <f t="shared" si="136"/>
        <v>0</v>
      </c>
      <c r="AX159" s="65">
        <f t="shared" si="136"/>
        <v>0</v>
      </c>
      <c r="AY159" s="65">
        <f t="shared" si="136"/>
        <v>0</v>
      </c>
      <c r="AZ159" s="65">
        <f t="shared" si="136"/>
        <v>0</v>
      </c>
      <c r="BA159" s="65">
        <f t="shared" si="136"/>
        <v>0</v>
      </c>
      <c r="BB159" s="65">
        <f t="shared" si="136"/>
        <v>0</v>
      </c>
      <c r="BC159" s="65">
        <f t="shared" si="136"/>
        <v>0</v>
      </c>
      <c r="BD159" s="65">
        <f t="shared" si="136"/>
        <v>0</v>
      </c>
      <c r="BE159" s="65">
        <f t="shared" si="136"/>
        <v>0</v>
      </c>
      <c r="BF159" s="65">
        <f t="shared" si="136"/>
        <v>0</v>
      </c>
      <c r="BG159" s="65">
        <f t="shared" si="136"/>
        <v>0</v>
      </c>
      <c r="BH159" s="65">
        <f t="shared" si="136"/>
        <v>0</v>
      </c>
      <c r="BI159" s="65">
        <f t="shared" si="136"/>
        <v>0</v>
      </c>
      <c r="BJ159" s="65">
        <f t="shared" si="136"/>
        <v>0</v>
      </c>
      <c r="BK159" s="65">
        <f t="shared" si="136"/>
        <v>0</v>
      </c>
      <c r="BL159" s="65">
        <f t="shared" si="136"/>
        <v>0</v>
      </c>
      <c r="BM159" s="65">
        <f t="shared" si="136"/>
        <v>0</v>
      </c>
      <c r="BN159" s="65">
        <f t="shared" si="136"/>
        <v>0</v>
      </c>
      <c r="BO159" s="65">
        <f t="shared" si="136"/>
        <v>0</v>
      </c>
      <c r="BP159" s="65">
        <f t="shared" si="136"/>
        <v>0</v>
      </c>
      <c r="BQ159" s="7"/>
      <c r="CI159" s="55" t="s">
        <v>1</v>
      </c>
      <c r="DJ159" s="369" t="s">
        <v>958</v>
      </c>
      <c r="DK159" s="461" t="s">
        <v>959</v>
      </c>
      <c r="DL159" s="369" t="s">
        <v>947</v>
      </c>
      <c r="DM159" s="369" t="s">
        <v>953</v>
      </c>
      <c r="DN159" s="369" t="s">
        <v>954</v>
      </c>
      <c r="DO159" s="462" t="s">
        <v>955</v>
      </c>
      <c r="DQ159" s="58" t="s">
        <v>231</v>
      </c>
    </row>
    <row r="160" spans="2:121" ht="19.5" customHeight="1" thickBot="1">
      <c r="B160" s="105" t="s">
        <v>326</v>
      </c>
      <c r="C160" s="106"/>
      <c r="D160" s="395" t="s">
        <v>323</v>
      </c>
      <c r="E160" s="105" t="s">
        <v>347</v>
      </c>
      <c r="H160" s="171" t="s">
        <v>2263</v>
      </c>
      <c r="I160" s="123"/>
      <c r="J160" s="133"/>
      <c r="M160" s="58" t="s">
        <v>231</v>
      </c>
      <c r="N160" s="55" t="s">
        <v>1</v>
      </c>
      <c r="O160" s="55" t="s">
        <v>458</v>
      </c>
      <c r="Q160" s="2">
        <f t="shared" si="133"/>
        <v>69.9</v>
      </c>
      <c r="R160" s="2">
        <f t="shared" si="133"/>
        <v>68.6</v>
      </c>
      <c r="S160" s="49">
        <f t="shared" si="133"/>
        <v>262</v>
      </c>
      <c r="U160" s="55" t="s">
        <v>1</v>
      </c>
      <c r="W160" s="55" t="s">
        <v>1</v>
      </c>
      <c r="AA160" s="55" t="s">
        <v>2</v>
      </c>
      <c r="AB160" s="65" t="s">
        <v>280</v>
      </c>
      <c r="AH160" s="74"/>
      <c r="AV160" s="65" t="s">
        <v>280</v>
      </c>
      <c r="BB160" s="74"/>
      <c r="BP160" s="65" t="s">
        <v>280</v>
      </c>
      <c r="BQ160" s="7"/>
      <c r="CI160" s="55" t="s">
        <v>1</v>
      </c>
      <c r="DJ160" s="369" t="s">
        <v>960</v>
      </c>
      <c r="DK160" s="461" t="s">
        <v>961</v>
      </c>
      <c r="DL160" s="369" t="s">
        <v>947</v>
      </c>
      <c r="DM160" s="369" t="s">
        <v>953</v>
      </c>
      <c r="DN160" s="369" t="s">
        <v>954</v>
      </c>
      <c r="DO160" s="462" t="s">
        <v>955</v>
      </c>
      <c r="DQ160" s="58" t="s">
        <v>231</v>
      </c>
    </row>
    <row r="161" spans="2:121" ht="19.5" customHeight="1" thickBot="1">
      <c r="B161" s="105" t="s">
        <v>324</v>
      </c>
      <c r="D161" s="172" t="s">
        <v>350</v>
      </c>
      <c r="E161" s="130"/>
      <c r="F161" s="130"/>
      <c r="G161" s="130"/>
      <c r="H161" s="131"/>
      <c r="I161" s="124"/>
      <c r="J161" s="54"/>
      <c r="M161" s="58" t="s">
        <v>231</v>
      </c>
      <c r="N161" s="55" t="s">
        <v>1</v>
      </c>
      <c r="O161" s="58" t="s">
        <v>446</v>
      </c>
      <c r="Q161" s="2">
        <f t="shared" si="133"/>
        <v>18.2</v>
      </c>
      <c r="R161" s="2">
        <f t="shared" si="133"/>
        <v>12.9</v>
      </c>
      <c r="S161" s="49">
        <f t="shared" si="133"/>
        <v>256</v>
      </c>
      <c r="U161" s="55" t="s">
        <v>1</v>
      </c>
      <c r="W161" s="55" t="s">
        <v>1</v>
      </c>
      <c r="AA161" s="55" t="s">
        <v>2</v>
      </c>
      <c r="AB161" s="65" t="s">
        <v>280</v>
      </c>
      <c r="AG161" s="65" t="s">
        <v>280</v>
      </c>
      <c r="AL161" s="65" t="s">
        <v>280</v>
      </c>
      <c r="AQ161" s="65" t="s">
        <v>280</v>
      </c>
      <c r="AV161" s="65" t="s">
        <v>280</v>
      </c>
      <c r="BA161" s="65" t="s">
        <v>280</v>
      </c>
      <c r="BF161" s="65" t="s">
        <v>280</v>
      </c>
      <c r="BH161" s="7"/>
      <c r="BI161" s="7"/>
      <c r="BJ161" s="7"/>
      <c r="BK161" s="65" t="s">
        <v>280</v>
      </c>
      <c r="BM161" s="7"/>
      <c r="BN161" s="7"/>
      <c r="BO161" s="7"/>
      <c r="BP161" s="65" t="s">
        <v>280</v>
      </c>
      <c r="CI161" s="55" t="s">
        <v>1</v>
      </c>
      <c r="DJ161" s="369" t="s">
        <v>962</v>
      </c>
      <c r="DK161" s="461" t="s">
        <v>963</v>
      </c>
      <c r="DL161" s="369" t="s">
        <v>964</v>
      </c>
      <c r="DM161" s="369" t="s">
        <v>965</v>
      </c>
      <c r="DN161" s="369" t="s">
        <v>966</v>
      </c>
      <c r="DO161" s="462" t="s">
        <v>967</v>
      </c>
      <c r="DQ161" s="58" t="s">
        <v>231</v>
      </c>
    </row>
    <row r="162" spans="2:121" ht="19.5" customHeight="1" thickBot="1">
      <c r="B162" s="105" t="s">
        <v>343</v>
      </c>
      <c r="C162" s="106"/>
      <c r="D162" s="396">
        <f>+J7</f>
        <v>2020</v>
      </c>
      <c r="E162" s="168"/>
      <c r="F162" s="159"/>
      <c r="G162" s="159"/>
      <c r="H162" s="96"/>
      <c r="M162" s="58" t="s">
        <v>231</v>
      </c>
      <c r="N162" s="55" t="s">
        <v>1</v>
      </c>
      <c r="O162" s="55" t="s">
        <v>459</v>
      </c>
      <c r="Q162" s="2">
        <f t="shared" si="133"/>
        <v>2.7</v>
      </c>
      <c r="R162" s="2">
        <f t="shared" si="133"/>
        <v>1.1</v>
      </c>
      <c r="S162" s="49">
        <f t="shared" si="133"/>
        <v>246</v>
      </c>
      <c r="U162" s="55" t="s">
        <v>1</v>
      </c>
      <c r="W162" s="55" t="s">
        <v>1</v>
      </c>
      <c r="AB162" s="58" t="s">
        <v>83</v>
      </c>
      <c r="AG162" s="58" t="s">
        <v>281</v>
      </c>
      <c r="AL162" s="58" t="s">
        <v>84</v>
      </c>
      <c r="AP162" s="7"/>
      <c r="AQ162" s="58" t="s">
        <v>282</v>
      </c>
      <c r="AV162" s="77" t="s">
        <v>85</v>
      </c>
      <c r="BA162" s="58" t="s">
        <v>283</v>
      </c>
      <c r="BF162" s="58" t="s">
        <v>284</v>
      </c>
      <c r="BH162" s="7"/>
      <c r="BI162" s="7"/>
      <c r="BJ162" s="7"/>
      <c r="BK162" s="58" t="s">
        <v>285</v>
      </c>
      <c r="BM162" s="7"/>
      <c r="BN162" s="7"/>
      <c r="BO162" s="7"/>
      <c r="BP162" s="58" t="s">
        <v>286</v>
      </c>
      <c r="BQ162" s="7"/>
      <c r="CI162" s="55" t="s">
        <v>1</v>
      </c>
      <c r="DJ162" s="369" t="s">
        <v>968</v>
      </c>
      <c r="DK162" s="461" t="s">
        <v>969</v>
      </c>
      <c r="DL162" s="369" t="s">
        <v>964</v>
      </c>
      <c r="DM162" s="369" t="s">
        <v>965</v>
      </c>
      <c r="DN162" s="369" t="s">
        <v>966</v>
      </c>
      <c r="DO162" s="462" t="s">
        <v>967</v>
      </c>
      <c r="DQ162" s="58" t="s">
        <v>231</v>
      </c>
    </row>
    <row r="163" spans="4:121" ht="19.5" customHeight="1">
      <c r="D163" s="70"/>
      <c r="E163" s="111"/>
      <c r="G163" s="106"/>
      <c r="H163" s="112"/>
      <c r="M163" s="58" t="s">
        <v>231</v>
      </c>
      <c r="N163" s="55" t="s">
        <v>1</v>
      </c>
      <c r="O163" s="58" t="s">
        <v>482</v>
      </c>
      <c r="Q163" s="2">
        <f t="shared" si="133"/>
        <v>0.4</v>
      </c>
      <c r="R163" s="2">
        <f t="shared" si="133"/>
        <v>7.3</v>
      </c>
      <c r="S163" s="49">
        <f t="shared" si="133"/>
        <v>275</v>
      </c>
      <c r="U163" s="55" t="s">
        <v>1</v>
      </c>
      <c r="W163" s="55" t="s">
        <v>1</v>
      </c>
      <c r="AD163" s="7"/>
      <c r="AN163" s="7"/>
      <c r="AP163" s="7"/>
      <c r="AT163" s="7"/>
      <c r="AU163" s="7"/>
      <c r="AW163" s="2"/>
      <c r="BB163" s="7"/>
      <c r="BD163" s="2"/>
      <c r="BF163" s="7"/>
      <c r="BH163" s="7"/>
      <c r="BJ163" s="2"/>
      <c r="BL163" s="7"/>
      <c r="BN163" s="7"/>
      <c r="BO163" s="7"/>
      <c r="BP163" s="7"/>
      <c r="BQ163" s="7"/>
      <c r="CI163" s="55" t="s">
        <v>1</v>
      </c>
      <c r="DJ163" s="369" t="s">
        <v>970</v>
      </c>
      <c r="DK163" s="461" t="s">
        <v>971</v>
      </c>
      <c r="DL163" s="369" t="s">
        <v>964</v>
      </c>
      <c r="DM163" s="369" t="s">
        <v>965</v>
      </c>
      <c r="DN163" s="369" t="s">
        <v>966</v>
      </c>
      <c r="DO163" s="462" t="s">
        <v>967</v>
      </c>
      <c r="DQ163" s="58" t="s">
        <v>231</v>
      </c>
    </row>
    <row r="164" spans="2:121" ht="19.5" customHeight="1">
      <c r="B164" s="64" t="s">
        <v>345</v>
      </c>
      <c r="C164" s="56"/>
      <c r="D164" s="56"/>
      <c r="E164" s="114" t="s">
        <v>316</v>
      </c>
      <c r="F164" s="493" t="s">
        <v>234</v>
      </c>
      <c r="G164" s="493" t="s">
        <v>2256</v>
      </c>
      <c r="H164" s="494" t="s">
        <v>318</v>
      </c>
      <c r="M164" s="58" t="s">
        <v>231</v>
      </c>
      <c r="N164" s="55" t="s">
        <v>1</v>
      </c>
      <c r="O164" s="55" t="s">
        <v>460</v>
      </c>
      <c r="Q164" s="2">
        <f t="shared" si="133"/>
        <v>21.1</v>
      </c>
      <c r="R164" s="2">
        <f t="shared" si="133"/>
        <v>17.7</v>
      </c>
      <c r="S164" s="49">
        <f t="shared" si="133"/>
        <v>276</v>
      </c>
      <c r="U164" s="55" t="s">
        <v>1</v>
      </c>
      <c r="W164" s="55" t="s">
        <v>1</v>
      </c>
      <c r="AD164" s="7"/>
      <c r="AN164" s="7"/>
      <c r="AP164" s="7"/>
      <c r="AT164" s="7"/>
      <c r="AU164" s="7"/>
      <c r="AW164" s="3"/>
      <c r="BB164" s="7"/>
      <c r="BD164" s="3"/>
      <c r="BF164" s="7"/>
      <c r="BH164" s="7"/>
      <c r="BJ164" s="3"/>
      <c r="BL164" s="7"/>
      <c r="BN164" s="7"/>
      <c r="BO164" s="7"/>
      <c r="BP164" s="7"/>
      <c r="CI164" s="55" t="s">
        <v>1</v>
      </c>
      <c r="DJ164" s="369" t="s">
        <v>972</v>
      </c>
      <c r="DK164" s="461" t="s">
        <v>973</v>
      </c>
      <c r="DL164" s="369" t="s">
        <v>964</v>
      </c>
      <c r="DM164" s="369" t="s">
        <v>965</v>
      </c>
      <c r="DN164" s="369" t="s">
        <v>966</v>
      </c>
      <c r="DO164" s="462" t="s">
        <v>967</v>
      </c>
      <c r="DQ164" s="58" t="s">
        <v>231</v>
      </c>
    </row>
    <row r="165" spans="2:121" ht="19.5" customHeight="1">
      <c r="B165" s="110" t="s">
        <v>444</v>
      </c>
      <c r="E165" s="357">
        <v>2</v>
      </c>
      <c r="F165" s="498">
        <v>7.16</v>
      </c>
      <c r="G165" s="498">
        <v>4.46</v>
      </c>
      <c r="H165" s="499">
        <v>15596</v>
      </c>
      <c r="M165" s="58" t="s">
        <v>231</v>
      </c>
      <c r="N165" s="55" t="s">
        <v>1</v>
      </c>
      <c r="O165" s="55" t="s">
        <v>461</v>
      </c>
      <c r="Q165" s="2">
        <f t="shared" si="133"/>
        <v>4.6</v>
      </c>
      <c r="R165" s="2">
        <f t="shared" si="133"/>
        <v>5</v>
      </c>
      <c r="S165" s="49">
        <f t="shared" si="133"/>
        <v>284</v>
      </c>
      <c r="U165" s="55" t="s">
        <v>1</v>
      </c>
      <c r="W165" s="55" t="s">
        <v>1</v>
      </c>
      <c r="X165" s="59" t="s">
        <v>0</v>
      </c>
      <c r="Y165" s="59" t="s">
        <v>0</v>
      </c>
      <c r="Z165" s="59" t="s">
        <v>0</v>
      </c>
      <c r="AA165" s="59" t="s">
        <v>0</v>
      </c>
      <c r="AB165" s="59" t="s">
        <v>0</v>
      </c>
      <c r="AC165" s="59" t="s">
        <v>0</v>
      </c>
      <c r="AD165" s="59" t="s">
        <v>0</v>
      </c>
      <c r="AE165" s="59" t="s">
        <v>0</v>
      </c>
      <c r="AF165" s="59" t="s">
        <v>0</v>
      </c>
      <c r="AG165" s="59" t="s">
        <v>0</v>
      </c>
      <c r="AH165" s="59" t="s">
        <v>0</v>
      </c>
      <c r="AI165" s="59" t="s">
        <v>0</v>
      </c>
      <c r="AJ165" s="59" t="s">
        <v>0</v>
      </c>
      <c r="AK165" s="59" t="s">
        <v>0</v>
      </c>
      <c r="AL165" s="59" t="s">
        <v>0</v>
      </c>
      <c r="AM165" s="59" t="s">
        <v>0</v>
      </c>
      <c r="AN165" s="59" t="s">
        <v>0</v>
      </c>
      <c r="AO165" s="59" t="s">
        <v>0</v>
      </c>
      <c r="AP165" s="59" t="s">
        <v>0</v>
      </c>
      <c r="AQ165" s="59" t="s">
        <v>0</v>
      </c>
      <c r="AR165" s="59" t="s">
        <v>0</v>
      </c>
      <c r="AS165" s="59" t="s">
        <v>0</v>
      </c>
      <c r="AT165" s="59" t="s">
        <v>0</v>
      </c>
      <c r="AU165" s="59" t="s">
        <v>0</v>
      </c>
      <c r="AV165" s="59" t="s">
        <v>0</v>
      </c>
      <c r="AW165" s="59" t="s">
        <v>0</v>
      </c>
      <c r="AX165" s="59" t="s">
        <v>0</v>
      </c>
      <c r="AY165" s="59" t="s">
        <v>0</v>
      </c>
      <c r="AZ165" s="59" t="s">
        <v>0</v>
      </c>
      <c r="BA165" s="59" t="s">
        <v>0</v>
      </c>
      <c r="BB165" s="59" t="s">
        <v>0</v>
      </c>
      <c r="BC165" s="59" t="s">
        <v>0</v>
      </c>
      <c r="BD165" s="59" t="s">
        <v>0</v>
      </c>
      <c r="BE165" s="59" t="s">
        <v>0</v>
      </c>
      <c r="BF165" s="59" t="s">
        <v>0</v>
      </c>
      <c r="BG165" s="59" t="s">
        <v>0</v>
      </c>
      <c r="BH165" s="59" t="s">
        <v>0</v>
      </c>
      <c r="BI165" s="59" t="s">
        <v>0</v>
      </c>
      <c r="BJ165" s="59" t="s">
        <v>0</v>
      </c>
      <c r="BK165" s="59" t="s">
        <v>0</v>
      </c>
      <c r="BL165" s="59" t="s">
        <v>0</v>
      </c>
      <c r="BM165" s="59" t="s">
        <v>0</v>
      </c>
      <c r="BN165" s="59" t="s">
        <v>0</v>
      </c>
      <c r="BO165" s="59" t="s">
        <v>0</v>
      </c>
      <c r="BP165" s="59" t="s">
        <v>0</v>
      </c>
      <c r="BQ165" s="59" t="s">
        <v>0</v>
      </c>
      <c r="BR165" s="59" t="s">
        <v>0</v>
      </c>
      <c r="BS165" s="59" t="s">
        <v>0</v>
      </c>
      <c r="BT165" s="59" t="s">
        <v>0</v>
      </c>
      <c r="BU165" s="59" t="s">
        <v>0</v>
      </c>
      <c r="BV165" s="59" t="s">
        <v>0</v>
      </c>
      <c r="BW165" s="59" t="s">
        <v>0</v>
      </c>
      <c r="BX165" s="59" t="s">
        <v>0</v>
      </c>
      <c r="BY165" s="59" t="s">
        <v>0</v>
      </c>
      <c r="BZ165" s="59" t="s">
        <v>0</v>
      </c>
      <c r="CA165" s="59" t="s">
        <v>0</v>
      </c>
      <c r="CB165" s="59" t="s">
        <v>0</v>
      </c>
      <c r="CC165" s="59" t="s">
        <v>0</v>
      </c>
      <c r="CD165" s="59" t="s">
        <v>0</v>
      </c>
      <c r="CE165" s="59" t="s">
        <v>0</v>
      </c>
      <c r="CF165" s="59" t="s">
        <v>0</v>
      </c>
      <c r="CG165" s="59" t="s">
        <v>0</v>
      </c>
      <c r="CH165" s="59" t="s">
        <v>0</v>
      </c>
      <c r="CI165" s="55" t="s">
        <v>1</v>
      </c>
      <c r="DJ165" s="369" t="s">
        <v>974</v>
      </c>
      <c r="DK165" s="461" t="s">
        <v>975</v>
      </c>
      <c r="DL165" s="369" t="s">
        <v>964</v>
      </c>
      <c r="DM165" s="369" t="s">
        <v>965</v>
      </c>
      <c r="DN165" s="369" t="s">
        <v>966</v>
      </c>
      <c r="DO165" s="462" t="s">
        <v>967</v>
      </c>
      <c r="DQ165" s="58" t="s">
        <v>231</v>
      </c>
    </row>
    <row r="166" spans="2:136" ht="19.5" customHeight="1">
      <c r="B166" s="110" t="s">
        <v>235</v>
      </c>
      <c r="C166" s="115"/>
      <c r="D166" s="65"/>
      <c r="E166" s="357">
        <v>3</v>
      </c>
      <c r="F166" s="500">
        <v>23.17</v>
      </c>
      <c r="G166" s="500">
        <v>19.8</v>
      </c>
      <c r="H166" s="501">
        <v>17412</v>
      </c>
      <c r="M166" s="58" t="s">
        <v>231</v>
      </c>
      <c r="N166" s="55" t="s">
        <v>1</v>
      </c>
      <c r="O166" s="55" t="s">
        <v>462</v>
      </c>
      <c r="Q166" s="3">
        <f t="shared" si="133"/>
        <v>2.98</v>
      </c>
      <c r="R166" s="3">
        <f t="shared" si="133"/>
        <v>1.54</v>
      </c>
      <c r="S166" s="49">
        <f t="shared" si="133"/>
        <v>280</v>
      </c>
      <c r="U166" s="55" t="s">
        <v>1</v>
      </c>
      <c r="W166" s="55" t="s">
        <v>1</v>
      </c>
      <c r="CI166" s="55" t="s">
        <v>1</v>
      </c>
      <c r="DJ166" s="369" t="s">
        <v>976</v>
      </c>
      <c r="DK166" s="461" t="s">
        <v>977</v>
      </c>
      <c r="DL166" s="369" t="s">
        <v>964</v>
      </c>
      <c r="DM166" s="369" t="s">
        <v>964</v>
      </c>
      <c r="DN166" s="369" t="s">
        <v>978</v>
      </c>
      <c r="DO166" s="462" t="s">
        <v>979</v>
      </c>
      <c r="DQ166" s="58" t="s">
        <v>231</v>
      </c>
      <c r="EF166" s="3"/>
    </row>
    <row r="167" spans="2:136" ht="19.5" customHeight="1">
      <c r="B167" s="110" t="s">
        <v>336</v>
      </c>
      <c r="C167" s="115"/>
      <c r="D167" s="65"/>
      <c r="E167" s="357">
        <v>4</v>
      </c>
      <c r="F167" s="501">
        <v>62685.2</v>
      </c>
      <c r="G167" s="501">
        <v>63062.9</v>
      </c>
      <c r="H167" s="501">
        <v>50696</v>
      </c>
      <c r="I167" s="125"/>
      <c r="J167" s="107"/>
      <c r="M167" s="58" t="s">
        <v>231</v>
      </c>
      <c r="N167" s="55" t="s">
        <v>1</v>
      </c>
      <c r="O167" s="55" t="s">
        <v>2251</v>
      </c>
      <c r="Q167" s="2">
        <f t="shared" si="133"/>
        <v>55</v>
      </c>
      <c r="R167" s="2">
        <f t="shared" si="133"/>
        <v>48</v>
      </c>
      <c r="S167" s="49">
        <f t="shared" si="133"/>
        <v>273</v>
      </c>
      <c r="U167" s="55" t="s">
        <v>1</v>
      </c>
      <c r="W167" s="55" t="s">
        <v>1</v>
      </c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3"/>
      <c r="AS167" s="102"/>
      <c r="AU167" s="55" t="s">
        <v>293</v>
      </c>
      <c r="AV167" s="102"/>
      <c r="AW167" s="102"/>
      <c r="AX167" s="102"/>
      <c r="AY167" s="102"/>
      <c r="AZ167" s="102"/>
      <c r="BA167" s="102"/>
      <c r="BB167" s="102"/>
      <c r="BC167" s="102"/>
      <c r="BD167" s="103"/>
      <c r="BE167" s="103"/>
      <c r="BF167" s="103"/>
      <c r="BG167" s="103"/>
      <c r="BH167" s="103"/>
      <c r="BI167" s="103"/>
      <c r="BJ167" s="103"/>
      <c r="BK167" s="103"/>
      <c r="BL167" s="103"/>
      <c r="BM167" s="103"/>
      <c r="BN167" s="102"/>
      <c r="BO167" s="7"/>
      <c r="BP167" s="7"/>
      <c r="CI167" s="55" t="s">
        <v>1</v>
      </c>
      <c r="DJ167" s="369" t="s">
        <v>980</v>
      </c>
      <c r="DK167" s="461" t="s">
        <v>981</v>
      </c>
      <c r="DL167" s="369" t="s">
        <v>964</v>
      </c>
      <c r="DM167" s="369" t="s">
        <v>982</v>
      </c>
      <c r="DN167" s="369" t="s">
        <v>983</v>
      </c>
      <c r="DO167" s="462" t="s">
        <v>984</v>
      </c>
      <c r="DQ167" s="58" t="s">
        <v>231</v>
      </c>
      <c r="EF167" s="3"/>
    </row>
    <row r="168" spans="2:136" ht="19.5" customHeight="1">
      <c r="B168" s="110" t="s">
        <v>236</v>
      </c>
      <c r="C168" s="115"/>
      <c r="D168" s="65"/>
      <c r="E168" s="357">
        <v>6</v>
      </c>
      <c r="F168" s="500">
        <v>51.49</v>
      </c>
      <c r="G168" s="500">
        <v>45.22</v>
      </c>
      <c r="H168" s="501">
        <v>72613</v>
      </c>
      <c r="I168" s="136"/>
      <c r="J168" s="135"/>
      <c r="M168" s="58" t="s">
        <v>231</v>
      </c>
      <c r="N168" s="55" t="s">
        <v>1</v>
      </c>
      <c r="O168" s="55" t="s">
        <v>2252</v>
      </c>
      <c r="Q168" s="2">
        <f t="shared" si="133"/>
        <v>65</v>
      </c>
      <c r="R168" s="2">
        <f t="shared" si="133"/>
        <v>50</v>
      </c>
      <c r="S168" s="49">
        <f t="shared" si="133"/>
        <v>280</v>
      </c>
      <c r="U168" s="55" t="s">
        <v>1</v>
      </c>
      <c r="W168" s="55" t="s">
        <v>1</v>
      </c>
      <c r="AG168" s="74"/>
      <c r="AP168" s="7"/>
      <c r="BD168" s="74"/>
      <c r="BF168" s="7"/>
      <c r="BG168" s="7"/>
      <c r="BH168" s="7"/>
      <c r="BI168" s="7"/>
      <c r="BJ168" s="7"/>
      <c r="BK168" s="7"/>
      <c r="BL168" s="7"/>
      <c r="BM168" s="7"/>
      <c r="BN168" s="7"/>
      <c r="BP168" s="7"/>
      <c r="CI168" s="55" t="s">
        <v>1</v>
      </c>
      <c r="DJ168" s="369" t="s">
        <v>985</v>
      </c>
      <c r="DK168" s="463" t="s">
        <v>986</v>
      </c>
      <c r="DL168" s="369" t="s">
        <v>964</v>
      </c>
      <c r="DM168" s="369" t="s">
        <v>964</v>
      </c>
      <c r="DN168" s="369" t="s">
        <v>978</v>
      </c>
      <c r="DO168" s="462" t="s">
        <v>979</v>
      </c>
      <c r="DQ168" s="58" t="s">
        <v>231</v>
      </c>
      <c r="EF168" s="3"/>
    </row>
    <row r="169" spans="2:121" ht="19.5" customHeight="1">
      <c r="B169" s="110" t="s">
        <v>445</v>
      </c>
      <c r="E169" s="358">
        <v>7</v>
      </c>
      <c r="F169" s="498">
        <v>25.42</v>
      </c>
      <c r="G169" s="498">
        <v>22.55</v>
      </c>
      <c r="H169" s="499">
        <v>215559</v>
      </c>
      <c r="I169" s="136"/>
      <c r="J169" s="135"/>
      <c r="M169" s="58" t="s">
        <v>231</v>
      </c>
      <c r="N169" s="55" t="s">
        <v>1</v>
      </c>
      <c r="O169" s="55" t="s">
        <v>463</v>
      </c>
      <c r="Q169" s="2">
        <f t="shared" si="133"/>
        <v>48.3</v>
      </c>
      <c r="R169" s="2">
        <f t="shared" si="133"/>
        <v>45.9</v>
      </c>
      <c r="S169" s="49">
        <f t="shared" si="133"/>
        <v>283</v>
      </c>
      <c r="U169" s="55" t="s">
        <v>1</v>
      </c>
      <c r="W169" s="55" t="s">
        <v>1</v>
      </c>
      <c r="Z169" s="55" t="s">
        <v>267</v>
      </c>
      <c r="AB169" s="65">
        <f aca="true" t="shared" si="137" ref="AB169:BP169">IF($BS$99=0,0,IF(AB$126=0,0,1))</f>
        <v>0</v>
      </c>
      <c r="AC169" s="65">
        <f t="shared" si="137"/>
        <v>0</v>
      </c>
      <c r="AD169" s="65">
        <f t="shared" si="137"/>
        <v>0</v>
      </c>
      <c r="AE169" s="65">
        <f t="shared" si="137"/>
        <v>0</v>
      </c>
      <c r="AF169" s="65">
        <f t="shared" si="137"/>
        <v>0</v>
      </c>
      <c r="AG169" s="65">
        <f t="shared" si="137"/>
        <v>0</v>
      </c>
      <c r="AH169" s="65">
        <f t="shared" si="137"/>
        <v>0</v>
      </c>
      <c r="AI169" s="65">
        <f t="shared" si="137"/>
        <v>0</v>
      </c>
      <c r="AJ169" s="65">
        <f t="shared" si="137"/>
        <v>0</v>
      </c>
      <c r="AK169" s="65">
        <f t="shared" si="137"/>
        <v>0</v>
      </c>
      <c r="AL169" s="65">
        <f t="shared" si="137"/>
        <v>0</v>
      </c>
      <c r="AM169" s="65">
        <f t="shared" si="137"/>
        <v>0</v>
      </c>
      <c r="AN169" s="65">
        <f t="shared" si="137"/>
        <v>0</v>
      </c>
      <c r="AO169" s="65">
        <f t="shared" si="137"/>
        <v>0</v>
      </c>
      <c r="AP169" s="65">
        <f t="shared" si="137"/>
        <v>0</v>
      </c>
      <c r="AQ169" s="65">
        <f t="shared" si="137"/>
        <v>0</v>
      </c>
      <c r="AR169" s="65">
        <f t="shared" si="137"/>
        <v>0</v>
      </c>
      <c r="AS169" s="65">
        <f t="shared" si="137"/>
        <v>0</v>
      </c>
      <c r="AT169" s="65">
        <f t="shared" si="137"/>
        <v>0</v>
      </c>
      <c r="AU169" s="65">
        <f t="shared" si="137"/>
        <v>0</v>
      </c>
      <c r="AV169" s="65">
        <f t="shared" si="137"/>
        <v>0</v>
      </c>
      <c r="AW169" s="65">
        <f t="shared" si="137"/>
        <v>0</v>
      </c>
      <c r="AX169" s="65">
        <f t="shared" si="137"/>
        <v>0</v>
      </c>
      <c r="AY169" s="65">
        <f t="shared" si="137"/>
        <v>0</v>
      </c>
      <c r="AZ169" s="65">
        <f t="shared" si="137"/>
        <v>0</v>
      </c>
      <c r="BA169" s="65">
        <f t="shared" si="137"/>
        <v>0</v>
      </c>
      <c r="BB169" s="65">
        <f t="shared" si="137"/>
        <v>0</v>
      </c>
      <c r="BC169" s="65">
        <f t="shared" si="137"/>
        <v>0</v>
      </c>
      <c r="BD169" s="65">
        <f t="shared" si="137"/>
        <v>1</v>
      </c>
      <c r="BE169" s="65">
        <f t="shared" si="137"/>
        <v>0</v>
      </c>
      <c r="BF169" s="65">
        <f t="shared" si="137"/>
        <v>0</v>
      </c>
      <c r="BG169" s="65">
        <f t="shared" si="137"/>
        <v>0</v>
      </c>
      <c r="BH169" s="65">
        <f t="shared" si="137"/>
        <v>0</v>
      </c>
      <c r="BI169" s="65">
        <f t="shared" si="137"/>
        <v>0</v>
      </c>
      <c r="BJ169" s="65">
        <f t="shared" si="137"/>
        <v>0</v>
      </c>
      <c r="BK169" s="65">
        <f t="shared" si="137"/>
        <v>0</v>
      </c>
      <c r="BL169" s="65">
        <f t="shared" si="137"/>
        <v>0</v>
      </c>
      <c r="BM169" s="65">
        <f t="shared" si="137"/>
        <v>0</v>
      </c>
      <c r="BN169" s="65">
        <f t="shared" si="137"/>
        <v>0</v>
      </c>
      <c r="BO169" s="65">
        <f t="shared" si="137"/>
        <v>0</v>
      </c>
      <c r="BP169" s="65">
        <f t="shared" si="137"/>
        <v>0</v>
      </c>
      <c r="BQ169" s="7"/>
      <c r="CI169" s="55" t="s">
        <v>1</v>
      </c>
      <c r="DJ169" s="369" t="s">
        <v>987</v>
      </c>
      <c r="DK169" s="461" t="s">
        <v>988</v>
      </c>
      <c r="DL169" s="369" t="s">
        <v>964</v>
      </c>
      <c r="DM169" s="369" t="s">
        <v>982</v>
      </c>
      <c r="DN169" s="369" t="s">
        <v>983</v>
      </c>
      <c r="DO169" s="462" t="s">
        <v>984</v>
      </c>
      <c r="DQ169" s="58" t="s">
        <v>231</v>
      </c>
    </row>
    <row r="170" spans="2:136" ht="19.5" customHeight="1">
      <c r="B170" s="110" t="s">
        <v>237</v>
      </c>
      <c r="C170" s="115"/>
      <c r="D170" s="65"/>
      <c r="E170" s="357">
        <v>8</v>
      </c>
      <c r="F170" s="500">
        <v>7.08</v>
      </c>
      <c r="G170" s="500">
        <v>3.14</v>
      </c>
      <c r="H170" s="501">
        <v>232087</v>
      </c>
      <c r="I170" s="132"/>
      <c r="J170" s="132"/>
      <c r="M170" s="58" t="s">
        <v>231</v>
      </c>
      <c r="N170" s="55" t="s">
        <v>1</v>
      </c>
      <c r="O170" s="59" t="s">
        <v>0</v>
      </c>
      <c r="P170" s="59" t="s">
        <v>0</v>
      </c>
      <c r="Q170" s="59" t="s">
        <v>0</v>
      </c>
      <c r="R170" s="59" t="s">
        <v>0</v>
      </c>
      <c r="S170" s="59" t="s">
        <v>0</v>
      </c>
      <c r="T170" s="59" t="s">
        <v>0</v>
      </c>
      <c r="U170" s="55" t="s">
        <v>1</v>
      </c>
      <c r="W170" s="55" t="s">
        <v>1</v>
      </c>
      <c r="AB170" s="65">
        <f aca="true" t="shared" si="138" ref="AB170:BP170">IF($BS$100=0,0,IF(AB$126=0,0,1))</f>
        <v>0</v>
      </c>
      <c r="AC170" s="65">
        <f t="shared" si="138"/>
        <v>0</v>
      </c>
      <c r="AD170" s="65">
        <f t="shared" si="138"/>
        <v>0</v>
      </c>
      <c r="AE170" s="65">
        <f t="shared" si="138"/>
        <v>0</v>
      </c>
      <c r="AF170" s="65">
        <f t="shared" si="138"/>
        <v>0</v>
      </c>
      <c r="AG170" s="65">
        <f t="shared" si="138"/>
        <v>0</v>
      </c>
      <c r="AH170" s="65">
        <f t="shared" si="138"/>
        <v>0</v>
      </c>
      <c r="AI170" s="65">
        <f t="shared" si="138"/>
        <v>0</v>
      </c>
      <c r="AJ170" s="65">
        <f t="shared" si="138"/>
        <v>0</v>
      </c>
      <c r="AK170" s="65">
        <f t="shared" si="138"/>
        <v>0</v>
      </c>
      <c r="AL170" s="65">
        <f t="shared" si="138"/>
        <v>0</v>
      </c>
      <c r="AM170" s="65">
        <f t="shared" si="138"/>
        <v>0</v>
      </c>
      <c r="AN170" s="65">
        <f t="shared" si="138"/>
        <v>0</v>
      </c>
      <c r="AO170" s="65">
        <f t="shared" si="138"/>
        <v>0</v>
      </c>
      <c r="AP170" s="65">
        <f t="shared" si="138"/>
        <v>0</v>
      </c>
      <c r="AQ170" s="65">
        <f t="shared" si="138"/>
        <v>0</v>
      </c>
      <c r="AR170" s="65">
        <f t="shared" si="138"/>
        <v>0</v>
      </c>
      <c r="AS170" s="65">
        <f t="shared" si="138"/>
        <v>0</v>
      </c>
      <c r="AT170" s="65">
        <f t="shared" si="138"/>
        <v>0</v>
      </c>
      <c r="AU170" s="65">
        <f t="shared" si="138"/>
        <v>0</v>
      </c>
      <c r="AV170" s="65">
        <f t="shared" si="138"/>
        <v>0</v>
      </c>
      <c r="AW170" s="65">
        <f t="shared" si="138"/>
        <v>0</v>
      </c>
      <c r="AX170" s="65">
        <f t="shared" si="138"/>
        <v>0</v>
      </c>
      <c r="AY170" s="65">
        <f t="shared" si="138"/>
        <v>0</v>
      </c>
      <c r="AZ170" s="65">
        <f t="shared" si="138"/>
        <v>0</v>
      </c>
      <c r="BA170" s="65">
        <f t="shared" si="138"/>
        <v>0</v>
      </c>
      <c r="BB170" s="65">
        <f t="shared" si="138"/>
        <v>0</v>
      </c>
      <c r="BC170" s="65">
        <f t="shared" si="138"/>
        <v>0</v>
      </c>
      <c r="BD170" s="65">
        <f t="shared" si="138"/>
        <v>0</v>
      </c>
      <c r="BE170" s="65">
        <f t="shared" si="138"/>
        <v>0</v>
      </c>
      <c r="BF170" s="65">
        <f t="shared" si="138"/>
        <v>0</v>
      </c>
      <c r="BG170" s="65">
        <f t="shared" si="138"/>
        <v>0</v>
      </c>
      <c r="BH170" s="65">
        <f t="shared" si="138"/>
        <v>0</v>
      </c>
      <c r="BI170" s="65">
        <f t="shared" si="138"/>
        <v>0</v>
      </c>
      <c r="BJ170" s="65">
        <f t="shared" si="138"/>
        <v>0</v>
      </c>
      <c r="BK170" s="65">
        <f t="shared" si="138"/>
        <v>0</v>
      </c>
      <c r="BL170" s="65">
        <f t="shared" si="138"/>
        <v>0</v>
      </c>
      <c r="BM170" s="65">
        <f t="shared" si="138"/>
        <v>0</v>
      </c>
      <c r="BN170" s="65">
        <f t="shared" si="138"/>
        <v>0</v>
      </c>
      <c r="BO170" s="65">
        <f t="shared" si="138"/>
        <v>0</v>
      </c>
      <c r="BP170" s="65">
        <f t="shared" si="138"/>
        <v>0</v>
      </c>
      <c r="CI170" s="55" t="s">
        <v>1</v>
      </c>
      <c r="DJ170" s="369" t="s">
        <v>989</v>
      </c>
      <c r="DK170" s="461" t="s">
        <v>990</v>
      </c>
      <c r="DL170" s="369" t="s">
        <v>964</v>
      </c>
      <c r="DM170" s="369" t="s">
        <v>982</v>
      </c>
      <c r="DN170" s="369" t="s">
        <v>983</v>
      </c>
      <c r="DO170" s="462" t="s">
        <v>984</v>
      </c>
      <c r="DQ170" s="58" t="s">
        <v>231</v>
      </c>
      <c r="EF170" s="3"/>
    </row>
    <row r="171" spans="2:136" ht="19.5" customHeight="1">
      <c r="B171" s="110" t="s">
        <v>480</v>
      </c>
      <c r="C171" s="115"/>
      <c r="D171" s="65"/>
      <c r="E171" s="357">
        <v>9</v>
      </c>
      <c r="F171" s="500">
        <v>10.93</v>
      </c>
      <c r="G171" s="500">
        <v>14.16</v>
      </c>
      <c r="H171" s="501">
        <v>240255</v>
      </c>
      <c r="I171" s="132"/>
      <c r="J171" s="132"/>
      <c r="M171" s="58" t="s">
        <v>231</v>
      </c>
      <c r="N171" s="55" t="s">
        <v>1</v>
      </c>
      <c r="O171" s="62" t="s">
        <v>4</v>
      </c>
      <c r="Q171" s="55">
        <f>$R$7</f>
        <v>2020</v>
      </c>
      <c r="R171" s="55">
        <f>$S$7</f>
        <v>2021</v>
      </c>
      <c r="S171" s="55">
        <f>$T$7</f>
        <v>2022</v>
      </c>
      <c r="T171" s="55" t="s">
        <v>265</v>
      </c>
      <c r="U171" s="55" t="s">
        <v>1</v>
      </c>
      <c r="W171" s="55" t="s">
        <v>1</v>
      </c>
      <c r="Z171" s="55" t="s">
        <v>268</v>
      </c>
      <c r="AB171" s="65">
        <f aca="true" t="shared" si="139" ref="AB171:BP171">IF($BS$101=0,0,IF(AB$126=0,0,1))</f>
        <v>0</v>
      </c>
      <c r="AC171" s="65">
        <f t="shared" si="139"/>
        <v>0</v>
      </c>
      <c r="AD171" s="65">
        <f t="shared" si="139"/>
        <v>0</v>
      </c>
      <c r="AE171" s="65">
        <f t="shared" si="139"/>
        <v>0</v>
      </c>
      <c r="AF171" s="65">
        <f t="shared" si="139"/>
        <v>0</v>
      </c>
      <c r="AG171" s="65">
        <f t="shared" si="139"/>
        <v>0</v>
      </c>
      <c r="AH171" s="65">
        <f t="shared" si="139"/>
        <v>0</v>
      </c>
      <c r="AI171" s="65">
        <f t="shared" si="139"/>
        <v>0</v>
      </c>
      <c r="AJ171" s="65">
        <f t="shared" si="139"/>
        <v>0</v>
      </c>
      <c r="AK171" s="65">
        <f t="shared" si="139"/>
        <v>0</v>
      </c>
      <c r="AL171" s="65">
        <f t="shared" si="139"/>
        <v>0</v>
      </c>
      <c r="AM171" s="65">
        <f t="shared" si="139"/>
        <v>0</v>
      </c>
      <c r="AN171" s="65">
        <f t="shared" si="139"/>
        <v>0</v>
      </c>
      <c r="AO171" s="65">
        <f t="shared" si="139"/>
        <v>0</v>
      </c>
      <c r="AP171" s="65">
        <f t="shared" si="139"/>
        <v>0</v>
      </c>
      <c r="AQ171" s="65">
        <f t="shared" si="139"/>
        <v>0</v>
      </c>
      <c r="AR171" s="65">
        <f t="shared" si="139"/>
        <v>0</v>
      </c>
      <c r="AS171" s="65">
        <f t="shared" si="139"/>
        <v>0</v>
      </c>
      <c r="AT171" s="65">
        <f t="shared" si="139"/>
        <v>0</v>
      </c>
      <c r="AU171" s="65">
        <f t="shared" si="139"/>
        <v>0</v>
      </c>
      <c r="AV171" s="65">
        <f t="shared" si="139"/>
        <v>0</v>
      </c>
      <c r="AW171" s="65">
        <f t="shared" si="139"/>
        <v>0</v>
      </c>
      <c r="AX171" s="65">
        <f t="shared" si="139"/>
        <v>0</v>
      </c>
      <c r="AY171" s="65">
        <f t="shared" si="139"/>
        <v>0</v>
      </c>
      <c r="AZ171" s="65">
        <f t="shared" si="139"/>
        <v>0</v>
      </c>
      <c r="BA171" s="65">
        <f t="shared" si="139"/>
        <v>0</v>
      </c>
      <c r="BB171" s="65">
        <f t="shared" si="139"/>
        <v>0</v>
      </c>
      <c r="BC171" s="65">
        <f t="shared" si="139"/>
        <v>0</v>
      </c>
      <c r="BD171" s="65">
        <f t="shared" si="139"/>
        <v>0</v>
      </c>
      <c r="BE171" s="65">
        <f t="shared" si="139"/>
        <v>0</v>
      </c>
      <c r="BF171" s="65">
        <f t="shared" si="139"/>
        <v>0</v>
      </c>
      <c r="BG171" s="65">
        <f t="shared" si="139"/>
        <v>0</v>
      </c>
      <c r="BH171" s="65">
        <f t="shared" si="139"/>
        <v>0</v>
      </c>
      <c r="BI171" s="65">
        <f t="shared" si="139"/>
        <v>0</v>
      </c>
      <c r="BJ171" s="65">
        <f t="shared" si="139"/>
        <v>0</v>
      </c>
      <c r="BK171" s="65">
        <f t="shared" si="139"/>
        <v>0</v>
      </c>
      <c r="BL171" s="65">
        <f t="shared" si="139"/>
        <v>0</v>
      </c>
      <c r="BM171" s="65">
        <f t="shared" si="139"/>
        <v>0</v>
      </c>
      <c r="BN171" s="65">
        <f t="shared" si="139"/>
        <v>0</v>
      </c>
      <c r="BO171" s="65">
        <f t="shared" si="139"/>
        <v>0</v>
      </c>
      <c r="BP171" s="65">
        <f t="shared" si="139"/>
        <v>0</v>
      </c>
      <c r="CI171" s="55" t="s">
        <v>1</v>
      </c>
      <c r="DJ171" s="369" t="s">
        <v>991</v>
      </c>
      <c r="DK171" s="463" t="s">
        <v>992</v>
      </c>
      <c r="DL171" s="369" t="s">
        <v>964</v>
      </c>
      <c r="DM171" s="369" t="s">
        <v>982</v>
      </c>
      <c r="DN171" s="369" t="s">
        <v>983</v>
      </c>
      <c r="DO171" s="462" t="s">
        <v>984</v>
      </c>
      <c r="DQ171" s="58" t="s">
        <v>231</v>
      </c>
      <c r="EF171" s="3"/>
    </row>
    <row r="172" spans="2:121" ht="19.5" customHeight="1">
      <c r="B172" s="110" t="s">
        <v>238</v>
      </c>
      <c r="C172" s="115"/>
      <c r="D172" s="65"/>
      <c r="E172" s="357">
        <v>10</v>
      </c>
      <c r="F172" s="500">
        <v>19.23</v>
      </c>
      <c r="G172" s="500">
        <v>26.67</v>
      </c>
      <c r="H172" s="501">
        <v>240317</v>
      </c>
      <c r="I172" s="136"/>
      <c r="J172" s="135"/>
      <c r="M172" s="58" t="s">
        <v>231</v>
      </c>
      <c r="N172" s="55" t="s">
        <v>1</v>
      </c>
      <c r="O172" s="59" t="s">
        <v>0</v>
      </c>
      <c r="P172" s="59" t="s">
        <v>0</v>
      </c>
      <c r="Q172" s="59" t="s">
        <v>0</v>
      </c>
      <c r="R172" s="59" t="s">
        <v>0</v>
      </c>
      <c r="S172" s="59" t="s">
        <v>0</v>
      </c>
      <c r="T172" s="59" t="s">
        <v>0</v>
      </c>
      <c r="U172" s="55" t="s">
        <v>1</v>
      </c>
      <c r="W172" s="55" t="s">
        <v>1</v>
      </c>
      <c r="AB172" s="65">
        <f aca="true" t="shared" si="140" ref="AB172:BP172">IF($BS$102=0,0,IF(AB$126=0,0,1))</f>
        <v>0</v>
      </c>
      <c r="AC172" s="65">
        <f t="shared" si="140"/>
        <v>0</v>
      </c>
      <c r="AD172" s="65">
        <f t="shared" si="140"/>
        <v>0</v>
      </c>
      <c r="AE172" s="65">
        <f t="shared" si="140"/>
        <v>0</v>
      </c>
      <c r="AF172" s="65">
        <f t="shared" si="140"/>
        <v>0</v>
      </c>
      <c r="AG172" s="65">
        <f t="shared" si="140"/>
        <v>0</v>
      </c>
      <c r="AH172" s="65">
        <f t="shared" si="140"/>
        <v>0</v>
      </c>
      <c r="AI172" s="65">
        <f t="shared" si="140"/>
        <v>0</v>
      </c>
      <c r="AJ172" s="65">
        <f t="shared" si="140"/>
        <v>0</v>
      </c>
      <c r="AK172" s="65">
        <f t="shared" si="140"/>
        <v>0</v>
      </c>
      <c r="AL172" s="65">
        <f t="shared" si="140"/>
        <v>0</v>
      </c>
      <c r="AM172" s="65">
        <f t="shared" si="140"/>
        <v>0</v>
      </c>
      <c r="AN172" s="65">
        <f t="shared" si="140"/>
        <v>0</v>
      </c>
      <c r="AO172" s="65">
        <f t="shared" si="140"/>
        <v>0</v>
      </c>
      <c r="AP172" s="65">
        <f t="shared" si="140"/>
        <v>0</v>
      </c>
      <c r="AQ172" s="65">
        <f t="shared" si="140"/>
        <v>0</v>
      </c>
      <c r="AR172" s="65">
        <f t="shared" si="140"/>
        <v>0</v>
      </c>
      <c r="AS172" s="65">
        <f t="shared" si="140"/>
        <v>0</v>
      </c>
      <c r="AT172" s="65">
        <f t="shared" si="140"/>
        <v>0</v>
      </c>
      <c r="AU172" s="65">
        <f t="shared" si="140"/>
        <v>0</v>
      </c>
      <c r="AV172" s="65">
        <f t="shared" si="140"/>
        <v>0</v>
      </c>
      <c r="AW172" s="65">
        <f t="shared" si="140"/>
        <v>0</v>
      </c>
      <c r="AX172" s="65">
        <f t="shared" si="140"/>
        <v>0</v>
      </c>
      <c r="AY172" s="65">
        <f t="shared" si="140"/>
        <v>0</v>
      </c>
      <c r="AZ172" s="65">
        <f t="shared" si="140"/>
        <v>0</v>
      </c>
      <c r="BA172" s="65">
        <f t="shared" si="140"/>
        <v>0</v>
      </c>
      <c r="BB172" s="65">
        <f t="shared" si="140"/>
        <v>0</v>
      </c>
      <c r="BC172" s="65">
        <f t="shared" si="140"/>
        <v>0</v>
      </c>
      <c r="BD172" s="65">
        <f t="shared" si="140"/>
        <v>0</v>
      </c>
      <c r="BE172" s="65">
        <f t="shared" si="140"/>
        <v>0</v>
      </c>
      <c r="BF172" s="65">
        <f t="shared" si="140"/>
        <v>0</v>
      </c>
      <c r="BG172" s="65">
        <f t="shared" si="140"/>
        <v>0</v>
      </c>
      <c r="BH172" s="65">
        <f t="shared" si="140"/>
        <v>0</v>
      </c>
      <c r="BI172" s="65">
        <f t="shared" si="140"/>
        <v>0</v>
      </c>
      <c r="BJ172" s="65">
        <f t="shared" si="140"/>
        <v>0</v>
      </c>
      <c r="BK172" s="65">
        <f t="shared" si="140"/>
        <v>0</v>
      </c>
      <c r="BL172" s="65">
        <f t="shared" si="140"/>
        <v>0</v>
      </c>
      <c r="BM172" s="65">
        <f t="shared" si="140"/>
        <v>0</v>
      </c>
      <c r="BN172" s="65">
        <f t="shared" si="140"/>
        <v>0</v>
      </c>
      <c r="BO172" s="65">
        <f t="shared" si="140"/>
        <v>0</v>
      </c>
      <c r="BP172" s="65">
        <f t="shared" si="140"/>
        <v>0</v>
      </c>
      <c r="CI172" s="55" t="s">
        <v>1</v>
      </c>
      <c r="DJ172" s="369" t="s">
        <v>993</v>
      </c>
      <c r="DK172" s="461" t="s">
        <v>994</v>
      </c>
      <c r="DL172" s="369" t="s">
        <v>964</v>
      </c>
      <c r="DM172" s="369" t="s">
        <v>982</v>
      </c>
      <c r="DN172" s="369" t="s">
        <v>983</v>
      </c>
      <c r="DO172" s="462" t="s">
        <v>984</v>
      </c>
      <c r="DQ172" s="58" t="s">
        <v>231</v>
      </c>
    </row>
    <row r="173" spans="2:121" ht="19.5" customHeight="1">
      <c r="B173" s="110" t="s">
        <v>239</v>
      </c>
      <c r="C173" s="115"/>
      <c r="D173" s="65"/>
      <c r="E173" s="357">
        <v>12</v>
      </c>
      <c r="F173" s="500">
        <v>8.23</v>
      </c>
      <c r="G173" s="500">
        <v>7.96</v>
      </c>
      <c r="H173" s="501">
        <v>283730</v>
      </c>
      <c r="M173" s="58" t="s">
        <v>231</v>
      </c>
      <c r="N173" s="55" t="s">
        <v>1</v>
      </c>
      <c r="O173" s="55" t="s">
        <v>5</v>
      </c>
      <c r="Q173" s="5">
        <f>IF($R$11=0,0,(R31+R32)/R41*100)</f>
        <v>46.20355893239931</v>
      </c>
      <c r="R173" s="5">
        <f>IF($R$11=0,0,(S31+S32)/S41*100)</f>
        <v>48.979704013323435</v>
      </c>
      <c r="S173" s="5">
        <f>IF($R$11=0,0,(T31+T32)/T41*100)</f>
        <v>43.42286146920517</v>
      </c>
      <c r="T173" s="122">
        <v>4.3178</v>
      </c>
      <c r="U173" s="55" t="s">
        <v>1</v>
      </c>
      <c r="W173" s="55" t="s">
        <v>1</v>
      </c>
      <c r="Z173" s="55" t="s">
        <v>269</v>
      </c>
      <c r="AB173" s="65">
        <f aca="true" t="shared" si="141" ref="AB173:BP173">IF($BS$103=0,0,IF(AB$126=0,0,1))</f>
        <v>0</v>
      </c>
      <c r="AC173" s="65">
        <f t="shared" si="141"/>
        <v>0</v>
      </c>
      <c r="AD173" s="65">
        <f t="shared" si="141"/>
        <v>0</v>
      </c>
      <c r="AE173" s="65">
        <f t="shared" si="141"/>
        <v>0</v>
      </c>
      <c r="AF173" s="65">
        <f t="shared" si="141"/>
        <v>0</v>
      </c>
      <c r="AG173" s="65">
        <f t="shared" si="141"/>
        <v>0</v>
      </c>
      <c r="AH173" s="65">
        <f t="shared" si="141"/>
        <v>0</v>
      </c>
      <c r="AI173" s="65">
        <f t="shared" si="141"/>
        <v>0</v>
      </c>
      <c r="AJ173" s="65">
        <f t="shared" si="141"/>
        <v>0</v>
      </c>
      <c r="AK173" s="65">
        <f t="shared" si="141"/>
        <v>0</v>
      </c>
      <c r="AL173" s="65">
        <f t="shared" si="141"/>
        <v>0</v>
      </c>
      <c r="AM173" s="65">
        <f t="shared" si="141"/>
        <v>0</v>
      </c>
      <c r="AN173" s="65">
        <f t="shared" si="141"/>
        <v>0</v>
      </c>
      <c r="AO173" s="65">
        <f t="shared" si="141"/>
        <v>0</v>
      </c>
      <c r="AP173" s="65">
        <f t="shared" si="141"/>
        <v>0</v>
      </c>
      <c r="AQ173" s="65">
        <f t="shared" si="141"/>
        <v>0</v>
      </c>
      <c r="AR173" s="65">
        <f t="shared" si="141"/>
        <v>0</v>
      </c>
      <c r="AS173" s="65">
        <f t="shared" si="141"/>
        <v>0</v>
      </c>
      <c r="AT173" s="65">
        <f t="shared" si="141"/>
        <v>0</v>
      </c>
      <c r="AU173" s="65">
        <f t="shared" si="141"/>
        <v>0</v>
      </c>
      <c r="AV173" s="65">
        <f t="shared" si="141"/>
        <v>0</v>
      </c>
      <c r="AW173" s="65">
        <f t="shared" si="141"/>
        <v>0</v>
      </c>
      <c r="AX173" s="65">
        <f t="shared" si="141"/>
        <v>0</v>
      </c>
      <c r="AY173" s="65">
        <f t="shared" si="141"/>
        <v>0</v>
      </c>
      <c r="AZ173" s="65">
        <f t="shared" si="141"/>
        <v>0</v>
      </c>
      <c r="BA173" s="65">
        <f t="shared" si="141"/>
        <v>0</v>
      </c>
      <c r="BB173" s="65">
        <f t="shared" si="141"/>
        <v>0</v>
      </c>
      <c r="BC173" s="65">
        <f t="shared" si="141"/>
        <v>0</v>
      </c>
      <c r="BD173" s="65">
        <f t="shared" si="141"/>
        <v>0</v>
      </c>
      <c r="BE173" s="65">
        <f t="shared" si="141"/>
        <v>0</v>
      </c>
      <c r="BF173" s="65">
        <f t="shared" si="141"/>
        <v>0</v>
      </c>
      <c r="BG173" s="65">
        <f t="shared" si="141"/>
        <v>0</v>
      </c>
      <c r="BH173" s="65">
        <f t="shared" si="141"/>
        <v>0</v>
      </c>
      <c r="BI173" s="65">
        <f t="shared" si="141"/>
        <v>0</v>
      </c>
      <c r="BJ173" s="65">
        <f t="shared" si="141"/>
        <v>0</v>
      </c>
      <c r="BK173" s="65">
        <f t="shared" si="141"/>
        <v>0</v>
      </c>
      <c r="BL173" s="65">
        <f t="shared" si="141"/>
        <v>0</v>
      </c>
      <c r="BM173" s="65">
        <f t="shared" si="141"/>
        <v>0</v>
      </c>
      <c r="BN173" s="65">
        <f t="shared" si="141"/>
        <v>0</v>
      </c>
      <c r="BO173" s="65">
        <f t="shared" si="141"/>
        <v>0</v>
      </c>
      <c r="BP173" s="65">
        <f t="shared" si="141"/>
        <v>0</v>
      </c>
      <c r="CI173" s="55" t="s">
        <v>1</v>
      </c>
      <c r="DJ173" s="369" t="s">
        <v>995</v>
      </c>
      <c r="DK173" s="461" t="s">
        <v>996</v>
      </c>
      <c r="DL173" s="369" t="s">
        <v>964</v>
      </c>
      <c r="DM173" s="369" t="s">
        <v>982</v>
      </c>
      <c r="DN173" s="369" t="s">
        <v>983</v>
      </c>
      <c r="DO173" s="462" t="s">
        <v>984</v>
      </c>
      <c r="DQ173" s="58" t="s">
        <v>231</v>
      </c>
    </row>
    <row r="174" spans="2:121" ht="19.5" customHeight="1">
      <c r="B174" s="110" t="s">
        <v>240</v>
      </c>
      <c r="C174" s="115"/>
      <c r="D174" s="65"/>
      <c r="E174" s="357">
        <v>13</v>
      </c>
      <c r="F174" s="502">
        <v>1.41</v>
      </c>
      <c r="G174" s="502">
        <v>1.61</v>
      </c>
      <c r="H174" s="501">
        <v>281527</v>
      </c>
      <c r="M174" s="58" t="s">
        <v>231</v>
      </c>
      <c r="N174" s="55" t="s">
        <v>1</v>
      </c>
      <c r="O174" s="66" t="s">
        <v>8</v>
      </c>
      <c r="P174" s="66"/>
      <c r="Q174" s="11">
        <f>IF($R$11=0,0,(R93+R92)/(R36+R37+R38+R39)*100)</f>
        <v>0</v>
      </c>
      <c r="R174" s="11">
        <f>IF($R$11=0,0,(S93+S92)/(S36+S37+S38+S39)*100)</f>
        <v>0</v>
      </c>
      <c r="S174" s="11">
        <f>IF($R$11=0,0,(T93+T92)/(T36+T37+T38+T39)*100)</f>
        <v>0</v>
      </c>
      <c r="T174" s="122">
        <v>11.6782</v>
      </c>
      <c r="U174" s="55" t="s">
        <v>1</v>
      </c>
      <c r="W174" s="55" t="s">
        <v>1</v>
      </c>
      <c r="AB174" s="65">
        <f aca="true" t="shared" si="142" ref="AB174:BP174">IF($BS$104=0,0,IF(AB$126=0,0,1))</f>
        <v>0</v>
      </c>
      <c r="AC174" s="65">
        <f t="shared" si="142"/>
        <v>0</v>
      </c>
      <c r="AD174" s="65">
        <f t="shared" si="142"/>
        <v>0</v>
      </c>
      <c r="AE174" s="65">
        <f t="shared" si="142"/>
        <v>0</v>
      </c>
      <c r="AF174" s="65">
        <f t="shared" si="142"/>
        <v>0</v>
      </c>
      <c r="AG174" s="65">
        <f t="shared" si="142"/>
        <v>0</v>
      </c>
      <c r="AH174" s="65">
        <f t="shared" si="142"/>
        <v>0</v>
      </c>
      <c r="AI174" s="65">
        <f t="shared" si="142"/>
        <v>0</v>
      </c>
      <c r="AJ174" s="65">
        <f t="shared" si="142"/>
        <v>0</v>
      </c>
      <c r="AK174" s="65">
        <f t="shared" si="142"/>
        <v>0</v>
      </c>
      <c r="AL174" s="65">
        <f t="shared" si="142"/>
        <v>0</v>
      </c>
      <c r="AM174" s="65">
        <f t="shared" si="142"/>
        <v>0</v>
      </c>
      <c r="AN174" s="65">
        <f t="shared" si="142"/>
        <v>0</v>
      </c>
      <c r="AO174" s="65">
        <f t="shared" si="142"/>
        <v>0</v>
      </c>
      <c r="AP174" s="65">
        <f t="shared" si="142"/>
        <v>0</v>
      </c>
      <c r="AQ174" s="65">
        <f t="shared" si="142"/>
        <v>0</v>
      </c>
      <c r="AR174" s="65">
        <f t="shared" si="142"/>
        <v>0</v>
      </c>
      <c r="AS174" s="65">
        <f t="shared" si="142"/>
        <v>0</v>
      </c>
      <c r="AT174" s="65">
        <f t="shared" si="142"/>
        <v>0</v>
      </c>
      <c r="AU174" s="65">
        <f t="shared" si="142"/>
        <v>0</v>
      </c>
      <c r="AV174" s="65">
        <f t="shared" si="142"/>
        <v>0</v>
      </c>
      <c r="AW174" s="65">
        <f t="shared" si="142"/>
        <v>0</v>
      </c>
      <c r="AX174" s="65">
        <f t="shared" si="142"/>
        <v>0</v>
      </c>
      <c r="AY174" s="65">
        <f t="shared" si="142"/>
        <v>0</v>
      </c>
      <c r="AZ174" s="65">
        <f t="shared" si="142"/>
        <v>0</v>
      </c>
      <c r="BA174" s="65">
        <f t="shared" si="142"/>
        <v>0</v>
      </c>
      <c r="BB174" s="65">
        <f t="shared" si="142"/>
        <v>0</v>
      </c>
      <c r="BC174" s="65">
        <f t="shared" si="142"/>
        <v>0</v>
      </c>
      <c r="BD174" s="65">
        <f t="shared" si="142"/>
        <v>0</v>
      </c>
      <c r="BE174" s="65">
        <f t="shared" si="142"/>
        <v>0</v>
      </c>
      <c r="BF174" s="65">
        <f t="shared" si="142"/>
        <v>0</v>
      </c>
      <c r="BG174" s="65">
        <f t="shared" si="142"/>
        <v>0</v>
      </c>
      <c r="BH174" s="65">
        <f t="shared" si="142"/>
        <v>0</v>
      </c>
      <c r="BI174" s="65">
        <f t="shared" si="142"/>
        <v>0</v>
      </c>
      <c r="BJ174" s="65">
        <f t="shared" si="142"/>
        <v>0</v>
      </c>
      <c r="BK174" s="65">
        <f t="shared" si="142"/>
        <v>0</v>
      </c>
      <c r="BL174" s="65">
        <f t="shared" si="142"/>
        <v>0</v>
      </c>
      <c r="BM174" s="65">
        <f t="shared" si="142"/>
        <v>0</v>
      </c>
      <c r="BN174" s="65">
        <f t="shared" si="142"/>
        <v>0</v>
      </c>
      <c r="BO174" s="65">
        <f t="shared" si="142"/>
        <v>0</v>
      </c>
      <c r="BP174" s="65">
        <f t="shared" si="142"/>
        <v>0</v>
      </c>
      <c r="CI174" s="55" t="s">
        <v>1</v>
      </c>
      <c r="DB174" s="7"/>
      <c r="DC174" s="7"/>
      <c r="DJ174" s="369" t="s">
        <v>997</v>
      </c>
      <c r="DK174" s="461" t="s">
        <v>998</v>
      </c>
      <c r="DL174" s="369" t="s">
        <v>964</v>
      </c>
      <c r="DM174" s="369" t="s">
        <v>999</v>
      </c>
      <c r="DN174" s="369" t="s">
        <v>1000</v>
      </c>
      <c r="DO174" s="462" t="s">
        <v>1001</v>
      </c>
      <c r="DQ174" s="58" t="s">
        <v>231</v>
      </c>
    </row>
    <row r="175" spans="2:121" ht="19.5" customHeight="1">
      <c r="B175" s="110" t="s">
        <v>2243</v>
      </c>
      <c r="C175" s="115"/>
      <c r="D175" s="65"/>
      <c r="E175" s="357">
        <v>17</v>
      </c>
      <c r="F175" s="503">
        <v>45.38</v>
      </c>
      <c r="G175" s="503">
        <v>21.05</v>
      </c>
      <c r="H175" s="501">
        <v>15602</v>
      </c>
      <c r="M175" s="58" t="s">
        <v>231</v>
      </c>
      <c r="N175" s="55" t="s">
        <v>1</v>
      </c>
      <c r="O175" s="55" t="s">
        <v>11</v>
      </c>
      <c r="Q175" s="5">
        <f>IF($R$11=0,0,R83/(R22+R23+R24+R25+R26)*100)</f>
        <v>7.354889640138673</v>
      </c>
      <c r="R175" s="5">
        <f>IF($R$11=0,0,S83/(S22+S23+S24+S25+S26)*100)</f>
        <v>4.5732706014645155</v>
      </c>
      <c r="S175" s="5">
        <f>IF($R$11=0,0,T83/(T22+T23+T24+T25+T26)*100)</f>
        <v>11.568826599583025</v>
      </c>
      <c r="T175" s="122">
        <v>3.1676</v>
      </c>
      <c r="U175" s="55" t="s">
        <v>1</v>
      </c>
      <c r="W175" s="55" t="s">
        <v>1</v>
      </c>
      <c r="Z175" s="55" t="s">
        <v>270</v>
      </c>
      <c r="AB175" s="65">
        <f aca="true" t="shared" si="143" ref="AB175:BP175">IF($BS$105=0,0,IF(AB$126=0,0,1))</f>
        <v>0</v>
      </c>
      <c r="AC175" s="65">
        <f t="shared" si="143"/>
        <v>0</v>
      </c>
      <c r="AD175" s="65">
        <f t="shared" si="143"/>
        <v>0</v>
      </c>
      <c r="AE175" s="65">
        <f t="shared" si="143"/>
        <v>0</v>
      </c>
      <c r="AF175" s="65">
        <f t="shared" si="143"/>
        <v>0</v>
      </c>
      <c r="AG175" s="65">
        <f t="shared" si="143"/>
        <v>0</v>
      </c>
      <c r="AH175" s="65">
        <f t="shared" si="143"/>
        <v>0</v>
      </c>
      <c r="AI175" s="65">
        <f t="shared" si="143"/>
        <v>0</v>
      </c>
      <c r="AJ175" s="65">
        <f t="shared" si="143"/>
        <v>0</v>
      </c>
      <c r="AK175" s="65">
        <f t="shared" si="143"/>
        <v>0</v>
      </c>
      <c r="AL175" s="65">
        <f t="shared" si="143"/>
        <v>0</v>
      </c>
      <c r="AM175" s="65">
        <f t="shared" si="143"/>
        <v>0</v>
      </c>
      <c r="AN175" s="65">
        <f t="shared" si="143"/>
        <v>0</v>
      </c>
      <c r="AO175" s="65">
        <f t="shared" si="143"/>
        <v>0</v>
      </c>
      <c r="AP175" s="65">
        <f t="shared" si="143"/>
        <v>0</v>
      </c>
      <c r="AQ175" s="65">
        <f t="shared" si="143"/>
        <v>0</v>
      </c>
      <c r="AR175" s="65">
        <f t="shared" si="143"/>
        <v>0</v>
      </c>
      <c r="AS175" s="65">
        <f t="shared" si="143"/>
        <v>0</v>
      </c>
      <c r="AT175" s="65">
        <f t="shared" si="143"/>
        <v>0</v>
      </c>
      <c r="AU175" s="65">
        <f t="shared" si="143"/>
        <v>0</v>
      </c>
      <c r="AV175" s="65">
        <f t="shared" si="143"/>
        <v>0</v>
      </c>
      <c r="AW175" s="65">
        <f t="shared" si="143"/>
        <v>0</v>
      </c>
      <c r="AX175" s="65">
        <f t="shared" si="143"/>
        <v>0</v>
      </c>
      <c r="AY175" s="65">
        <f t="shared" si="143"/>
        <v>0</v>
      </c>
      <c r="AZ175" s="65">
        <f t="shared" si="143"/>
        <v>0</v>
      </c>
      <c r="BA175" s="65">
        <f t="shared" si="143"/>
        <v>0</v>
      </c>
      <c r="BB175" s="65">
        <f t="shared" si="143"/>
        <v>0</v>
      </c>
      <c r="BC175" s="65">
        <f t="shared" si="143"/>
        <v>0</v>
      </c>
      <c r="BD175" s="65">
        <f t="shared" si="143"/>
        <v>0</v>
      </c>
      <c r="BE175" s="65">
        <f t="shared" si="143"/>
        <v>0</v>
      </c>
      <c r="BF175" s="65">
        <f t="shared" si="143"/>
        <v>0</v>
      </c>
      <c r="BG175" s="65">
        <f t="shared" si="143"/>
        <v>0</v>
      </c>
      <c r="BH175" s="65">
        <f t="shared" si="143"/>
        <v>0</v>
      </c>
      <c r="BI175" s="65">
        <f t="shared" si="143"/>
        <v>0</v>
      </c>
      <c r="BJ175" s="65">
        <f t="shared" si="143"/>
        <v>0</v>
      </c>
      <c r="BK175" s="65">
        <f t="shared" si="143"/>
        <v>0</v>
      </c>
      <c r="BL175" s="65">
        <f t="shared" si="143"/>
        <v>0</v>
      </c>
      <c r="BM175" s="65">
        <f t="shared" si="143"/>
        <v>0</v>
      </c>
      <c r="BN175" s="65">
        <f t="shared" si="143"/>
        <v>0</v>
      </c>
      <c r="BO175" s="65">
        <f t="shared" si="143"/>
        <v>0</v>
      </c>
      <c r="BP175" s="65">
        <f t="shared" si="143"/>
        <v>0</v>
      </c>
      <c r="CI175" s="55" t="s">
        <v>1</v>
      </c>
      <c r="DJ175" s="369" t="s">
        <v>1002</v>
      </c>
      <c r="DK175" s="463" t="s">
        <v>1003</v>
      </c>
      <c r="DL175" s="369" t="s">
        <v>964</v>
      </c>
      <c r="DM175" s="369" t="s">
        <v>999</v>
      </c>
      <c r="DN175" s="369" t="s">
        <v>1000</v>
      </c>
      <c r="DO175" s="462" t="s">
        <v>1001</v>
      </c>
      <c r="DQ175" s="58" t="s">
        <v>231</v>
      </c>
    </row>
    <row r="176" spans="2:121" ht="19.5" customHeight="1">
      <c r="B176" s="110" t="s">
        <v>2244</v>
      </c>
      <c r="C176" s="115"/>
      <c r="D176" s="65"/>
      <c r="E176" s="357">
        <v>18</v>
      </c>
      <c r="F176" s="503">
        <v>54.57</v>
      </c>
      <c r="G176" s="503">
        <v>20.97</v>
      </c>
      <c r="H176" s="501">
        <v>18227</v>
      </c>
      <c r="M176" s="58" t="s">
        <v>231</v>
      </c>
      <c r="N176" s="55" t="s">
        <v>1</v>
      </c>
      <c r="O176" s="55" t="s">
        <v>16</v>
      </c>
      <c r="Q176" s="5">
        <f>IF($R$11=0,0,IF($R$11=2,R72/(R22+R23+R24+R26)*100,IF($R$11=3,R72/(R22+R23+R24+R26)*100,R73/(R22+R23+R24+R26)*100)))</f>
        <v>11.145993552287928</v>
      </c>
      <c r="R176" s="5">
        <f>IF($R$11=0,0,IF($R$11=2,S72/(S22+S23+S24+S26)*100,IF($R$11=3,S72/(S22+S23+S24+S26)*100,S73/(S22+S23+S24+S26)*100)))</f>
        <v>8.226576467779157</v>
      </c>
      <c r="S176" s="5">
        <f>IF($R$11=0,0,IF($R$11=2,T72/(T22+T23+T24+T26)*100,IF($R$11=3,T72/(T22+T23+T24+T26)*100,T73/(T22+T23+T24+T26)*100)))</f>
        <v>7.55362175296869</v>
      </c>
      <c r="T176" s="122">
        <v>1.62</v>
      </c>
      <c r="U176" s="55" t="s">
        <v>1</v>
      </c>
      <c r="W176" s="55" t="s">
        <v>1</v>
      </c>
      <c r="AB176" s="65">
        <f aca="true" t="shared" si="144" ref="AB176:BP176">IF($BS$106=0,0,IF(AB$126=0,0,1))</f>
        <v>0</v>
      </c>
      <c r="AC176" s="65">
        <f t="shared" si="144"/>
        <v>0</v>
      </c>
      <c r="AD176" s="65">
        <f t="shared" si="144"/>
        <v>0</v>
      </c>
      <c r="AE176" s="65">
        <f t="shared" si="144"/>
        <v>0</v>
      </c>
      <c r="AF176" s="65">
        <f t="shared" si="144"/>
        <v>0</v>
      </c>
      <c r="AG176" s="65">
        <f t="shared" si="144"/>
        <v>0</v>
      </c>
      <c r="AH176" s="65">
        <f t="shared" si="144"/>
        <v>0</v>
      </c>
      <c r="AI176" s="65">
        <f t="shared" si="144"/>
        <v>0</v>
      </c>
      <c r="AJ176" s="65">
        <f t="shared" si="144"/>
        <v>0</v>
      </c>
      <c r="AK176" s="65">
        <f t="shared" si="144"/>
        <v>0</v>
      </c>
      <c r="AL176" s="65">
        <f t="shared" si="144"/>
        <v>0</v>
      </c>
      <c r="AM176" s="65">
        <f t="shared" si="144"/>
        <v>0</v>
      </c>
      <c r="AN176" s="65">
        <f t="shared" si="144"/>
        <v>0</v>
      </c>
      <c r="AO176" s="65">
        <f t="shared" si="144"/>
        <v>0</v>
      </c>
      <c r="AP176" s="65">
        <f t="shared" si="144"/>
        <v>0</v>
      </c>
      <c r="AQ176" s="65">
        <f t="shared" si="144"/>
        <v>0</v>
      </c>
      <c r="AR176" s="65">
        <f t="shared" si="144"/>
        <v>0</v>
      </c>
      <c r="AS176" s="65">
        <f t="shared" si="144"/>
        <v>0</v>
      </c>
      <c r="AT176" s="65">
        <f t="shared" si="144"/>
        <v>0</v>
      </c>
      <c r="AU176" s="65">
        <f t="shared" si="144"/>
        <v>0</v>
      </c>
      <c r="AV176" s="65">
        <f t="shared" si="144"/>
        <v>0</v>
      </c>
      <c r="AW176" s="65">
        <f t="shared" si="144"/>
        <v>0</v>
      </c>
      <c r="AX176" s="65">
        <f t="shared" si="144"/>
        <v>0</v>
      </c>
      <c r="AY176" s="65">
        <f t="shared" si="144"/>
        <v>0</v>
      </c>
      <c r="AZ176" s="65">
        <f t="shared" si="144"/>
        <v>0</v>
      </c>
      <c r="BA176" s="65">
        <f t="shared" si="144"/>
        <v>0</v>
      </c>
      <c r="BB176" s="65">
        <f t="shared" si="144"/>
        <v>0</v>
      </c>
      <c r="BC176" s="65">
        <f t="shared" si="144"/>
        <v>0</v>
      </c>
      <c r="BD176" s="65">
        <f t="shared" si="144"/>
        <v>0</v>
      </c>
      <c r="BE176" s="65">
        <f t="shared" si="144"/>
        <v>0</v>
      </c>
      <c r="BF176" s="65">
        <f t="shared" si="144"/>
        <v>0</v>
      </c>
      <c r="BG176" s="65">
        <f t="shared" si="144"/>
        <v>0</v>
      </c>
      <c r="BH176" s="65">
        <f t="shared" si="144"/>
        <v>0</v>
      </c>
      <c r="BI176" s="65">
        <f t="shared" si="144"/>
        <v>0</v>
      </c>
      <c r="BJ176" s="65">
        <f t="shared" si="144"/>
        <v>0</v>
      </c>
      <c r="BK176" s="65">
        <f t="shared" si="144"/>
        <v>0</v>
      </c>
      <c r="BL176" s="65">
        <f t="shared" si="144"/>
        <v>0</v>
      </c>
      <c r="BM176" s="65">
        <f t="shared" si="144"/>
        <v>0</v>
      </c>
      <c r="BN176" s="65">
        <f t="shared" si="144"/>
        <v>0</v>
      </c>
      <c r="BO176" s="65">
        <f t="shared" si="144"/>
        <v>0</v>
      </c>
      <c r="BP176" s="65">
        <f t="shared" si="144"/>
        <v>0</v>
      </c>
      <c r="BQ176" s="7"/>
      <c r="CI176" s="55" t="s">
        <v>1</v>
      </c>
      <c r="DB176" s="7"/>
      <c r="DC176" s="7"/>
      <c r="DJ176" s="369" t="s">
        <v>1004</v>
      </c>
      <c r="DK176" s="461" t="s">
        <v>1005</v>
      </c>
      <c r="DL176" s="369" t="s">
        <v>964</v>
      </c>
      <c r="DM176" s="369" t="s">
        <v>999</v>
      </c>
      <c r="DN176" s="369" t="s">
        <v>1000</v>
      </c>
      <c r="DO176" s="462" t="s">
        <v>1001</v>
      </c>
      <c r="DQ176" s="58" t="s">
        <v>231</v>
      </c>
    </row>
    <row r="177" spans="2:121" ht="19.5" customHeight="1">
      <c r="B177" s="110" t="s">
        <v>241</v>
      </c>
      <c r="C177" s="115"/>
      <c r="D177" s="65"/>
      <c r="E177" s="357">
        <v>19</v>
      </c>
      <c r="F177" s="498">
        <v>45.77</v>
      </c>
      <c r="G177" s="500">
        <v>45.71</v>
      </c>
      <c r="H177" s="501">
        <v>284501</v>
      </c>
      <c r="M177" s="58" t="s">
        <v>231</v>
      </c>
      <c r="N177" s="55" t="s">
        <v>1</v>
      </c>
      <c r="O177" s="55" t="s">
        <v>35</v>
      </c>
      <c r="Q177" s="5">
        <f>IF($R$11=0,0,R87/(R36+R37+R38+R39)*100)</f>
        <v>0</v>
      </c>
      <c r="R177" s="5">
        <f>IF($R$11=0,0,S87/(S36+S37+S38+S39)*100)</f>
        <v>0</v>
      </c>
      <c r="S177" s="5">
        <f>IF($R$11=0,0,T87/(T36+T37+T38+T39)*100)</f>
        <v>0</v>
      </c>
      <c r="T177" s="122">
        <v>0.8353</v>
      </c>
      <c r="U177" s="55" t="s">
        <v>1</v>
      </c>
      <c r="W177" s="55" t="s">
        <v>1</v>
      </c>
      <c r="Z177" s="55" t="s">
        <v>271</v>
      </c>
      <c r="AB177" s="65">
        <f aca="true" t="shared" si="145" ref="AB177:BP177">IF($BS$107=0,0,IF(AB$126=0,0,1))</f>
        <v>0</v>
      </c>
      <c r="AC177" s="65">
        <f t="shared" si="145"/>
        <v>0</v>
      </c>
      <c r="AD177" s="65">
        <f t="shared" si="145"/>
        <v>0</v>
      </c>
      <c r="AE177" s="65">
        <f t="shared" si="145"/>
        <v>0</v>
      </c>
      <c r="AF177" s="65">
        <f t="shared" si="145"/>
        <v>0</v>
      </c>
      <c r="AG177" s="65">
        <f t="shared" si="145"/>
        <v>0</v>
      </c>
      <c r="AH177" s="65">
        <f t="shared" si="145"/>
        <v>0</v>
      </c>
      <c r="AI177" s="65">
        <f t="shared" si="145"/>
        <v>0</v>
      </c>
      <c r="AJ177" s="65">
        <f t="shared" si="145"/>
        <v>0</v>
      </c>
      <c r="AK177" s="65">
        <f t="shared" si="145"/>
        <v>0</v>
      </c>
      <c r="AL177" s="65">
        <f t="shared" si="145"/>
        <v>0</v>
      </c>
      <c r="AM177" s="65">
        <f t="shared" si="145"/>
        <v>0</v>
      </c>
      <c r="AN177" s="65">
        <f t="shared" si="145"/>
        <v>0</v>
      </c>
      <c r="AO177" s="65">
        <f t="shared" si="145"/>
        <v>0</v>
      </c>
      <c r="AP177" s="65">
        <f t="shared" si="145"/>
        <v>0</v>
      </c>
      <c r="AQ177" s="65">
        <f t="shared" si="145"/>
        <v>0</v>
      </c>
      <c r="AR177" s="65">
        <f t="shared" si="145"/>
        <v>0</v>
      </c>
      <c r="AS177" s="65">
        <f t="shared" si="145"/>
        <v>0</v>
      </c>
      <c r="AT177" s="65">
        <f t="shared" si="145"/>
        <v>0</v>
      </c>
      <c r="AU177" s="65">
        <f t="shared" si="145"/>
        <v>0</v>
      </c>
      <c r="AV177" s="65">
        <f t="shared" si="145"/>
        <v>0</v>
      </c>
      <c r="AW177" s="65">
        <f t="shared" si="145"/>
        <v>0</v>
      </c>
      <c r="AX177" s="65">
        <f t="shared" si="145"/>
        <v>0</v>
      </c>
      <c r="AY177" s="65">
        <f t="shared" si="145"/>
        <v>0</v>
      </c>
      <c r="AZ177" s="65">
        <f t="shared" si="145"/>
        <v>0</v>
      </c>
      <c r="BA177" s="65">
        <f t="shared" si="145"/>
        <v>0</v>
      </c>
      <c r="BB177" s="65">
        <f t="shared" si="145"/>
        <v>0</v>
      </c>
      <c r="BC177" s="65">
        <f t="shared" si="145"/>
        <v>0</v>
      </c>
      <c r="BD177" s="65">
        <f t="shared" si="145"/>
        <v>0</v>
      </c>
      <c r="BE177" s="65">
        <f t="shared" si="145"/>
        <v>0</v>
      </c>
      <c r="BF177" s="65">
        <f t="shared" si="145"/>
        <v>0</v>
      </c>
      <c r="BG177" s="65">
        <f t="shared" si="145"/>
        <v>0</v>
      </c>
      <c r="BH177" s="65">
        <f t="shared" si="145"/>
        <v>0</v>
      </c>
      <c r="BI177" s="65">
        <f t="shared" si="145"/>
        <v>0</v>
      </c>
      <c r="BJ177" s="65">
        <f t="shared" si="145"/>
        <v>0</v>
      </c>
      <c r="BK177" s="65">
        <f t="shared" si="145"/>
        <v>0</v>
      </c>
      <c r="BL177" s="65">
        <f t="shared" si="145"/>
        <v>0</v>
      </c>
      <c r="BM177" s="65">
        <f t="shared" si="145"/>
        <v>0</v>
      </c>
      <c r="BN177" s="65">
        <f t="shared" si="145"/>
        <v>0</v>
      </c>
      <c r="BO177" s="65">
        <f t="shared" si="145"/>
        <v>0</v>
      </c>
      <c r="BP177" s="65">
        <f t="shared" si="145"/>
        <v>0</v>
      </c>
      <c r="BQ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55" t="s">
        <v>1</v>
      </c>
      <c r="DJ177" s="369" t="s">
        <v>1006</v>
      </c>
      <c r="DK177" s="463" t="s">
        <v>1007</v>
      </c>
      <c r="DL177" s="369" t="s">
        <v>964</v>
      </c>
      <c r="DM177" s="369" t="s">
        <v>999</v>
      </c>
      <c r="DN177" s="369" t="s">
        <v>1000</v>
      </c>
      <c r="DO177" s="462" t="s">
        <v>1001</v>
      </c>
      <c r="DQ177" s="58" t="s">
        <v>231</v>
      </c>
    </row>
    <row r="178" spans="2:121" ht="19.5" customHeight="1">
      <c r="B178" s="424" t="s">
        <v>2404</v>
      </c>
      <c r="J178" s="58" t="s">
        <v>231</v>
      </c>
      <c r="M178" s="58" t="s">
        <v>231</v>
      </c>
      <c r="N178" s="55" t="s">
        <v>1</v>
      </c>
      <c r="O178" s="55" t="s">
        <v>56</v>
      </c>
      <c r="Q178" s="52">
        <f>IF($R$11=0,0,(Q173*T173-Q174*T174+Q175*T175-Q176*T176-Q177*T177+T178)/100)</f>
        <v>2.2797856562771055</v>
      </c>
      <c r="R178" s="52">
        <f>IF($R$11=0,0,(R173*T173-R174*T174+R175*T175-R176*T176-R177*T177+T178)/100)</f>
        <v>2.3588380406812473</v>
      </c>
      <c r="S178" s="52">
        <f>IF($R$11=0,0,(S173*T173-S174*T174+S175*T175-S176*T176-S177*T177+T178)/100)</f>
        <v>2.3513977914876403</v>
      </c>
      <c r="T178" s="122">
        <v>23.24</v>
      </c>
      <c r="U178" s="55" t="s">
        <v>1</v>
      </c>
      <c r="W178" s="55" t="s">
        <v>1</v>
      </c>
      <c r="AB178" s="65">
        <f aca="true" t="shared" si="146" ref="AB178:BP178">IF($BS$108=0,0,IF(AB$126=0,0,1))</f>
        <v>0</v>
      </c>
      <c r="AC178" s="65">
        <f t="shared" si="146"/>
        <v>0</v>
      </c>
      <c r="AD178" s="65">
        <f t="shared" si="146"/>
        <v>0</v>
      </c>
      <c r="AE178" s="65">
        <f t="shared" si="146"/>
        <v>0</v>
      </c>
      <c r="AF178" s="65">
        <f t="shared" si="146"/>
        <v>0</v>
      </c>
      <c r="AG178" s="65">
        <f t="shared" si="146"/>
        <v>0</v>
      </c>
      <c r="AH178" s="65">
        <f t="shared" si="146"/>
        <v>0</v>
      </c>
      <c r="AI178" s="65">
        <f t="shared" si="146"/>
        <v>0</v>
      </c>
      <c r="AJ178" s="65">
        <f t="shared" si="146"/>
        <v>0</v>
      </c>
      <c r="AK178" s="65">
        <f t="shared" si="146"/>
        <v>0</v>
      </c>
      <c r="AL178" s="65">
        <f t="shared" si="146"/>
        <v>0</v>
      </c>
      <c r="AM178" s="65">
        <f t="shared" si="146"/>
        <v>0</v>
      </c>
      <c r="AN178" s="65">
        <f t="shared" si="146"/>
        <v>0</v>
      </c>
      <c r="AO178" s="65">
        <f t="shared" si="146"/>
        <v>0</v>
      </c>
      <c r="AP178" s="65">
        <f t="shared" si="146"/>
        <v>0</v>
      </c>
      <c r="AQ178" s="65">
        <f t="shared" si="146"/>
        <v>0</v>
      </c>
      <c r="AR178" s="65">
        <f t="shared" si="146"/>
        <v>0</v>
      </c>
      <c r="AS178" s="65">
        <f t="shared" si="146"/>
        <v>0</v>
      </c>
      <c r="AT178" s="65">
        <f t="shared" si="146"/>
        <v>0</v>
      </c>
      <c r="AU178" s="65">
        <f t="shared" si="146"/>
        <v>0</v>
      </c>
      <c r="AV178" s="65">
        <f t="shared" si="146"/>
        <v>0</v>
      </c>
      <c r="AW178" s="65">
        <f t="shared" si="146"/>
        <v>0</v>
      </c>
      <c r="AX178" s="65">
        <f t="shared" si="146"/>
        <v>0</v>
      </c>
      <c r="AY178" s="65">
        <f t="shared" si="146"/>
        <v>0</v>
      </c>
      <c r="AZ178" s="65">
        <f t="shared" si="146"/>
        <v>0</v>
      </c>
      <c r="BA178" s="65">
        <f t="shared" si="146"/>
        <v>0</v>
      </c>
      <c r="BB178" s="65">
        <f t="shared" si="146"/>
        <v>0</v>
      </c>
      <c r="BC178" s="65">
        <f t="shared" si="146"/>
        <v>0</v>
      </c>
      <c r="BD178" s="65">
        <f t="shared" si="146"/>
        <v>0</v>
      </c>
      <c r="BE178" s="65">
        <f t="shared" si="146"/>
        <v>0</v>
      </c>
      <c r="BF178" s="65">
        <f t="shared" si="146"/>
        <v>0</v>
      </c>
      <c r="BG178" s="65">
        <f t="shared" si="146"/>
        <v>0</v>
      </c>
      <c r="BH178" s="65">
        <f t="shared" si="146"/>
        <v>0</v>
      </c>
      <c r="BI178" s="65">
        <f t="shared" si="146"/>
        <v>0</v>
      </c>
      <c r="BJ178" s="65">
        <f t="shared" si="146"/>
        <v>0</v>
      </c>
      <c r="BK178" s="65">
        <f t="shared" si="146"/>
        <v>0</v>
      </c>
      <c r="BL178" s="65">
        <f t="shared" si="146"/>
        <v>0</v>
      </c>
      <c r="BM178" s="65">
        <f t="shared" si="146"/>
        <v>0</v>
      </c>
      <c r="BN178" s="65">
        <f t="shared" si="146"/>
        <v>0</v>
      </c>
      <c r="BO178" s="65">
        <f t="shared" si="146"/>
        <v>0</v>
      </c>
      <c r="BP178" s="65">
        <f t="shared" si="146"/>
        <v>0</v>
      </c>
      <c r="BQ178" s="7"/>
      <c r="BU178" s="7"/>
      <c r="BV178" s="1"/>
      <c r="BX178" s="1"/>
      <c r="CD178" s="1"/>
      <c r="CE178" s="1"/>
      <c r="CF178" s="1"/>
      <c r="CH178" s="1"/>
      <c r="CI178" s="55" t="s">
        <v>1</v>
      </c>
      <c r="DJ178" s="369" t="s">
        <v>1008</v>
      </c>
      <c r="DK178" s="461" t="s">
        <v>1009</v>
      </c>
      <c r="DL178" s="369" t="s">
        <v>964</v>
      </c>
      <c r="DM178" s="369" t="s">
        <v>999</v>
      </c>
      <c r="DN178" s="369" t="s">
        <v>1000</v>
      </c>
      <c r="DO178" s="462" t="s">
        <v>1001</v>
      </c>
      <c r="DQ178" s="58" t="s">
        <v>231</v>
      </c>
    </row>
    <row r="179" spans="2:121" ht="19.5" customHeight="1" thickBot="1">
      <c r="B179" s="424" t="s">
        <v>2404</v>
      </c>
      <c r="J179" s="58" t="s">
        <v>231</v>
      </c>
      <c r="M179" s="58" t="s">
        <v>231</v>
      </c>
      <c r="N179" s="55" t="s">
        <v>1</v>
      </c>
      <c r="O179" s="59" t="s">
        <v>0</v>
      </c>
      <c r="P179" s="59" t="s">
        <v>0</v>
      </c>
      <c r="Q179" s="59" t="s">
        <v>0</v>
      </c>
      <c r="R179" s="59" t="s">
        <v>0</v>
      </c>
      <c r="S179" s="59" t="s">
        <v>0</v>
      </c>
      <c r="T179" s="59" t="s">
        <v>0</v>
      </c>
      <c r="U179" s="55" t="s">
        <v>1</v>
      </c>
      <c r="W179" s="55" t="s">
        <v>1</v>
      </c>
      <c r="Z179" s="65" t="s">
        <v>272</v>
      </c>
      <c r="AA179" s="65"/>
      <c r="AB179" s="65">
        <f aca="true" t="shared" si="147" ref="AB179:BP179">IF($BS$109=0,0,IF(AB$126=0,0,1))</f>
        <v>0</v>
      </c>
      <c r="AC179" s="65">
        <f t="shared" si="147"/>
        <v>0</v>
      </c>
      <c r="AD179" s="65">
        <f t="shared" si="147"/>
        <v>0</v>
      </c>
      <c r="AE179" s="65">
        <f t="shared" si="147"/>
        <v>0</v>
      </c>
      <c r="AF179" s="65">
        <f t="shared" si="147"/>
        <v>0</v>
      </c>
      <c r="AG179" s="65">
        <f t="shared" si="147"/>
        <v>0</v>
      </c>
      <c r="AH179" s="65">
        <f t="shared" si="147"/>
        <v>0</v>
      </c>
      <c r="AI179" s="65">
        <f t="shared" si="147"/>
        <v>0</v>
      </c>
      <c r="AJ179" s="65">
        <f t="shared" si="147"/>
        <v>0</v>
      </c>
      <c r="AK179" s="65">
        <f t="shared" si="147"/>
        <v>0</v>
      </c>
      <c r="AL179" s="65">
        <f t="shared" si="147"/>
        <v>0</v>
      </c>
      <c r="AM179" s="65">
        <f t="shared" si="147"/>
        <v>0</v>
      </c>
      <c r="AN179" s="65">
        <f t="shared" si="147"/>
        <v>0</v>
      </c>
      <c r="AO179" s="65">
        <f t="shared" si="147"/>
        <v>0</v>
      </c>
      <c r="AP179" s="65">
        <f t="shared" si="147"/>
        <v>0</v>
      </c>
      <c r="AQ179" s="65">
        <f t="shared" si="147"/>
        <v>0</v>
      </c>
      <c r="AR179" s="65">
        <f t="shared" si="147"/>
        <v>0</v>
      </c>
      <c r="AS179" s="65">
        <f t="shared" si="147"/>
        <v>0</v>
      </c>
      <c r="AT179" s="65">
        <f t="shared" si="147"/>
        <v>0</v>
      </c>
      <c r="AU179" s="65">
        <f t="shared" si="147"/>
        <v>0</v>
      </c>
      <c r="AV179" s="65">
        <f t="shared" si="147"/>
        <v>0</v>
      </c>
      <c r="AW179" s="65">
        <f t="shared" si="147"/>
        <v>0</v>
      </c>
      <c r="AX179" s="65">
        <f t="shared" si="147"/>
        <v>0</v>
      </c>
      <c r="AY179" s="65">
        <f t="shared" si="147"/>
        <v>0</v>
      </c>
      <c r="AZ179" s="65">
        <f t="shared" si="147"/>
        <v>0</v>
      </c>
      <c r="BA179" s="65">
        <f t="shared" si="147"/>
        <v>0</v>
      </c>
      <c r="BB179" s="65">
        <f t="shared" si="147"/>
        <v>0</v>
      </c>
      <c r="BC179" s="65">
        <f t="shared" si="147"/>
        <v>0</v>
      </c>
      <c r="BD179" s="65">
        <f t="shared" si="147"/>
        <v>0</v>
      </c>
      <c r="BE179" s="65">
        <f t="shared" si="147"/>
        <v>0</v>
      </c>
      <c r="BF179" s="65">
        <f t="shared" si="147"/>
        <v>0</v>
      </c>
      <c r="BG179" s="65">
        <f t="shared" si="147"/>
        <v>0</v>
      </c>
      <c r="BH179" s="65">
        <f t="shared" si="147"/>
        <v>0</v>
      </c>
      <c r="BI179" s="65">
        <f t="shared" si="147"/>
        <v>0</v>
      </c>
      <c r="BJ179" s="65">
        <f t="shared" si="147"/>
        <v>0</v>
      </c>
      <c r="BK179" s="65">
        <f t="shared" si="147"/>
        <v>0</v>
      </c>
      <c r="BL179" s="65">
        <f t="shared" si="147"/>
        <v>0</v>
      </c>
      <c r="BM179" s="65">
        <f t="shared" si="147"/>
        <v>0</v>
      </c>
      <c r="BN179" s="65">
        <f t="shared" si="147"/>
        <v>0</v>
      </c>
      <c r="BO179" s="65">
        <f t="shared" si="147"/>
        <v>0</v>
      </c>
      <c r="BP179" s="65">
        <f t="shared" si="147"/>
        <v>0</v>
      </c>
      <c r="BQ179" s="7"/>
      <c r="BU179" s="7"/>
      <c r="BV179" s="1"/>
      <c r="BW179" s="1"/>
      <c r="BX179" s="1"/>
      <c r="CD179" s="1"/>
      <c r="CE179" s="1"/>
      <c r="CF179" s="1"/>
      <c r="CG179" s="1"/>
      <c r="CH179" s="1"/>
      <c r="CI179" s="55" t="s">
        <v>1</v>
      </c>
      <c r="DJ179" s="369" t="s">
        <v>1010</v>
      </c>
      <c r="DK179" s="463" t="s">
        <v>1011</v>
      </c>
      <c r="DL179" s="369" t="s">
        <v>964</v>
      </c>
      <c r="DM179" s="369" t="s">
        <v>999</v>
      </c>
      <c r="DN179" s="369" t="s">
        <v>1000</v>
      </c>
      <c r="DO179" s="462" t="s">
        <v>1001</v>
      </c>
      <c r="DQ179" s="58" t="s">
        <v>231</v>
      </c>
    </row>
    <row r="180" spans="2:121" ht="19.5" customHeight="1" thickBot="1">
      <c r="B180" s="105" t="s">
        <v>326</v>
      </c>
      <c r="C180" s="106"/>
      <c r="D180" s="395" t="s">
        <v>323</v>
      </c>
      <c r="E180" s="105" t="s">
        <v>347</v>
      </c>
      <c r="H180" s="171" t="s">
        <v>2262</v>
      </c>
      <c r="M180" s="58" t="s">
        <v>231</v>
      </c>
      <c r="W180" s="55" t="s">
        <v>1</v>
      </c>
      <c r="AB180" s="65">
        <f aca="true" t="shared" si="148" ref="AB180:BP180">IF($BS$110=0,0,IF(AB$126=0,0,1))</f>
        <v>0</v>
      </c>
      <c r="AC180" s="65">
        <f t="shared" si="148"/>
        <v>0</v>
      </c>
      <c r="AD180" s="65">
        <f t="shared" si="148"/>
        <v>0</v>
      </c>
      <c r="AE180" s="65">
        <f t="shared" si="148"/>
        <v>0</v>
      </c>
      <c r="AF180" s="65">
        <f t="shared" si="148"/>
        <v>0</v>
      </c>
      <c r="AG180" s="65">
        <f t="shared" si="148"/>
        <v>0</v>
      </c>
      <c r="AH180" s="65">
        <f t="shared" si="148"/>
        <v>0</v>
      </c>
      <c r="AI180" s="65">
        <f t="shared" si="148"/>
        <v>0</v>
      </c>
      <c r="AJ180" s="65">
        <f t="shared" si="148"/>
        <v>0</v>
      </c>
      <c r="AK180" s="65">
        <f t="shared" si="148"/>
        <v>0</v>
      </c>
      <c r="AL180" s="65">
        <f t="shared" si="148"/>
        <v>0</v>
      </c>
      <c r="AM180" s="65">
        <f t="shared" si="148"/>
        <v>0</v>
      </c>
      <c r="AN180" s="65">
        <f t="shared" si="148"/>
        <v>0</v>
      </c>
      <c r="AO180" s="65">
        <f t="shared" si="148"/>
        <v>0</v>
      </c>
      <c r="AP180" s="65">
        <f t="shared" si="148"/>
        <v>0</v>
      </c>
      <c r="AQ180" s="65">
        <f t="shared" si="148"/>
        <v>0</v>
      </c>
      <c r="AR180" s="65">
        <f t="shared" si="148"/>
        <v>0</v>
      </c>
      <c r="AS180" s="65">
        <f t="shared" si="148"/>
        <v>0</v>
      </c>
      <c r="AT180" s="65">
        <f t="shared" si="148"/>
        <v>0</v>
      </c>
      <c r="AU180" s="65">
        <f t="shared" si="148"/>
        <v>0</v>
      </c>
      <c r="AV180" s="65">
        <f t="shared" si="148"/>
        <v>0</v>
      </c>
      <c r="AW180" s="65">
        <f t="shared" si="148"/>
        <v>0</v>
      </c>
      <c r="AX180" s="65">
        <f t="shared" si="148"/>
        <v>0</v>
      </c>
      <c r="AY180" s="65">
        <f t="shared" si="148"/>
        <v>0</v>
      </c>
      <c r="AZ180" s="65">
        <f t="shared" si="148"/>
        <v>0</v>
      </c>
      <c r="BA180" s="65">
        <f t="shared" si="148"/>
        <v>0</v>
      </c>
      <c r="BB180" s="65">
        <f t="shared" si="148"/>
        <v>0</v>
      </c>
      <c r="BC180" s="65">
        <f t="shared" si="148"/>
        <v>0</v>
      </c>
      <c r="BD180" s="65">
        <f t="shared" si="148"/>
        <v>0</v>
      </c>
      <c r="BE180" s="65">
        <f t="shared" si="148"/>
        <v>0</v>
      </c>
      <c r="BF180" s="65">
        <f t="shared" si="148"/>
        <v>0</v>
      </c>
      <c r="BG180" s="65">
        <f t="shared" si="148"/>
        <v>0</v>
      </c>
      <c r="BH180" s="65">
        <f t="shared" si="148"/>
        <v>0</v>
      </c>
      <c r="BI180" s="65">
        <f t="shared" si="148"/>
        <v>0</v>
      </c>
      <c r="BJ180" s="65">
        <f t="shared" si="148"/>
        <v>0</v>
      </c>
      <c r="BK180" s="65">
        <f t="shared" si="148"/>
        <v>0</v>
      </c>
      <c r="BL180" s="65">
        <f t="shared" si="148"/>
        <v>0</v>
      </c>
      <c r="BM180" s="65">
        <f t="shared" si="148"/>
        <v>0</v>
      </c>
      <c r="BN180" s="65">
        <f t="shared" si="148"/>
        <v>0</v>
      </c>
      <c r="BO180" s="65">
        <f t="shared" si="148"/>
        <v>0</v>
      </c>
      <c r="BP180" s="65">
        <f t="shared" si="148"/>
        <v>0</v>
      </c>
      <c r="BQ180" s="7"/>
      <c r="BU180" s="7"/>
      <c r="BW180" s="1"/>
      <c r="BX180" s="1"/>
      <c r="CD180" s="1"/>
      <c r="CE180" s="1"/>
      <c r="CF180" s="1"/>
      <c r="CI180" s="55" t="s">
        <v>1</v>
      </c>
      <c r="DJ180" s="369" t="s">
        <v>1012</v>
      </c>
      <c r="DK180" s="461" t="s">
        <v>1013</v>
      </c>
      <c r="DL180" s="369" t="s">
        <v>964</v>
      </c>
      <c r="DM180" s="369" t="s">
        <v>999</v>
      </c>
      <c r="DN180" s="369" t="s">
        <v>1000</v>
      </c>
      <c r="DO180" s="462" t="s">
        <v>1001</v>
      </c>
      <c r="DQ180" s="58" t="s">
        <v>231</v>
      </c>
    </row>
    <row r="181" spans="2:121" ht="19.5" customHeight="1" thickBot="1">
      <c r="B181" s="105" t="s">
        <v>324</v>
      </c>
      <c r="D181" s="172" t="s">
        <v>350</v>
      </c>
      <c r="E181" s="130"/>
      <c r="F181" s="130"/>
      <c r="G181" s="130"/>
      <c r="H181" s="131"/>
      <c r="M181" s="58" t="s">
        <v>231</v>
      </c>
      <c r="P181" s="52"/>
      <c r="Q181" s="52"/>
      <c r="R181" s="52"/>
      <c r="S181" s="49"/>
      <c r="T181" s="52"/>
      <c r="W181" s="55" t="s">
        <v>1</v>
      </c>
      <c r="Z181" s="55" t="s">
        <v>273</v>
      </c>
      <c r="AB181" s="65">
        <f aca="true" t="shared" si="149" ref="AB181:BP181">IF($BS$111=0,0,IF(AB$126=0,0,1))</f>
        <v>0</v>
      </c>
      <c r="AC181" s="65">
        <f t="shared" si="149"/>
        <v>0</v>
      </c>
      <c r="AD181" s="65">
        <f t="shared" si="149"/>
        <v>0</v>
      </c>
      <c r="AE181" s="65">
        <f t="shared" si="149"/>
        <v>0</v>
      </c>
      <c r="AF181" s="65">
        <f t="shared" si="149"/>
        <v>0</v>
      </c>
      <c r="AG181" s="65">
        <f t="shared" si="149"/>
        <v>0</v>
      </c>
      <c r="AH181" s="65">
        <f t="shared" si="149"/>
        <v>0</v>
      </c>
      <c r="AI181" s="65">
        <f t="shared" si="149"/>
        <v>0</v>
      </c>
      <c r="AJ181" s="65">
        <f t="shared" si="149"/>
        <v>0</v>
      </c>
      <c r="AK181" s="65">
        <f t="shared" si="149"/>
        <v>0</v>
      </c>
      <c r="AL181" s="65">
        <f t="shared" si="149"/>
        <v>0</v>
      </c>
      <c r="AM181" s="65">
        <f t="shared" si="149"/>
        <v>0</v>
      </c>
      <c r="AN181" s="65">
        <f t="shared" si="149"/>
        <v>0</v>
      </c>
      <c r="AO181" s="65">
        <f t="shared" si="149"/>
        <v>0</v>
      </c>
      <c r="AP181" s="65">
        <f t="shared" si="149"/>
        <v>0</v>
      </c>
      <c r="AQ181" s="65">
        <f t="shared" si="149"/>
        <v>0</v>
      </c>
      <c r="AR181" s="65">
        <f t="shared" si="149"/>
        <v>0</v>
      </c>
      <c r="AS181" s="65">
        <f t="shared" si="149"/>
        <v>0</v>
      </c>
      <c r="AT181" s="65">
        <f t="shared" si="149"/>
        <v>0</v>
      </c>
      <c r="AU181" s="65">
        <f t="shared" si="149"/>
        <v>0</v>
      </c>
      <c r="AV181" s="65">
        <f t="shared" si="149"/>
        <v>0</v>
      </c>
      <c r="AW181" s="65">
        <f t="shared" si="149"/>
        <v>0</v>
      </c>
      <c r="AX181" s="65">
        <f t="shared" si="149"/>
        <v>0</v>
      </c>
      <c r="AY181" s="65">
        <f t="shared" si="149"/>
        <v>0</v>
      </c>
      <c r="AZ181" s="65">
        <f t="shared" si="149"/>
        <v>0</v>
      </c>
      <c r="BA181" s="65">
        <f t="shared" si="149"/>
        <v>0</v>
      </c>
      <c r="BB181" s="65">
        <f t="shared" si="149"/>
        <v>0</v>
      </c>
      <c r="BC181" s="65">
        <f t="shared" si="149"/>
        <v>0</v>
      </c>
      <c r="BD181" s="65">
        <f t="shared" si="149"/>
        <v>0</v>
      </c>
      <c r="BE181" s="65">
        <f t="shared" si="149"/>
        <v>0</v>
      </c>
      <c r="BF181" s="65">
        <f t="shared" si="149"/>
        <v>0</v>
      </c>
      <c r="BG181" s="65">
        <f t="shared" si="149"/>
        <v>0</v>
      </c>
      <c r="BH181" s="65">
        <f t="shared" si="149"/>
        <v>0</v>
      </c>
      <c r="BI181" s="65">
        <f t="shared" si="149"/>
        <v>0</v>
      </c>
      <c r="BJ181" s="65">
        <f t="shared" si="149"/>
        <v>0</v>
      </c>
      <c r="BK181" s="65">
        <f t="shared" si="149"/>
        <v>0</v>
      </c>
      <c r="BL181" s="65">
        <f t="shared" si="149"/>
        <v>0</v>
      </c>
      <c r="BM181" s="65">
        <f t="shared" si="149"/>
        <v>0</v>
      </c>
      <c r="BN181" s="65">
        <f t="shared" si="149"/>
        <v>0</v>
      </c>
      <c r="BO181" s="65">
        <f t="shared" si="149"/>
        <v>0</v>
      </c>
      <c r="BP181" s="65">
        <f t="shared" si="149"/>
        <v>0</v>
      </c>
      <c r="BQ181" s="7"/>
      <c r="BU181" s="7"/>
      <c r="BW181" s="1"/>
      <c r="BX181" s="1"/>
      <c r="CD181" s="1"/>
      <c r="CE181" s="1"/>
      <c r="CF181" s="1"/>
      <c r="CH181" s="1"/>
      <c r="CI181" s="55" t="s">
        <v>1</v>
      </c>
      <c r="DJ181" s="369" t="s">
        <v>1014</v>
      </c>
      <c r="DK181" s="461" t="s">
        <v>1015</v>
      </c>
      <c r="DL181" s="369" t="s">
        <v>964</v>
      </c>
      <c r="DM181" s="369" t="s">
        <v>999</v>
      </c>
      <c r="DN181" s="369" t="s">
        <v>1000</v>
      </c>
      <c r="DO181" s="462" t="s">
        <v>1001</v>
      </c>
      <c r="DQ181" s="58" t="s">
        <v>231</v>
      </c>
    </row>
    <row r="182" spans="2:121" ht="19.5" customHeight="1" thickBot="1">
      <c r="B182" s="105" t="s">
        <v>343</v>
      </c>
      <c r="C182" s="106"/>
      <c r="D182" s="396">
        <f>+J7</f>
        <v>2020</v>
      </c>
      <c r="E182" s="168"/>
      <c r="F182" s="159"/>
      <c r="G182" s="159"/>
      <c r="H182" s="96"/>
      <c r="M182" s="58" t="s">
        <v>231</v>
      </c>
      <c r="P182" s="2"/>
      <c r="Q182" s="2"/>
      <c r="R182" s="2"/>
      <c r="S182" s="49"/>
      <c r="T182" s="2"/>
      <c r="W182" s="55" t="s">
        <v>1</v>
      </c>
      <c r="AB182" s="65">
        <f aca="true" t="shared" si="150" ref="AB182:BP182">IF($BS$112=0,0,IF(AB$126=0,0,1))</f>
        <v>0</v>
      </c>
      <c r="AC182" s="65">
        <f t="shared" si="150"/>
        <v>0</v>
      </c>
      <c r="AD182" s="65">
        <f t="shared" si="150"/>
        <v>0</v>
      </c>
      <c r="AE182" s="65">
        <f t="shared" si="150"/>
        <v>0</v>
      </c>
      <c r="AF182" s="65">
        <f t="shared" si="150"/>
        <v>0</v>
      </c>
      <c r="AG182" s="65">
        <f t="shared" si="150"/>
        <v>0</v>
      </c>
      <c r="AH182" s="65">
        <f t="shared" si="150"/>
        <v>0</v>
      </c>
      <c r="AI182" s="65">
        <f t="shared" si="150"/>
        <v>0</v>
      </c>
      <c r="AJ182" s="65">
        <f t="shared" si="150"/>
        <v>0</v>
      </c>
      <c r="AK182" s="65">
        <f t="shared" si="150"/>
        <v>0</v>
      </c>
      <c r="AL182" s="65">
        <f t="shared" si="150"/>
        <v>0</v>
      </c>
      <c r="AM182" s="65">
        <f t="shared" si="150"/>
        <v>0</v>
      </c>
      <c r="AN182" s="65">
        <f t="shared" si="150"/>
        <v>0</v>
      </c>
      <c r="AO182" s="65">
        <f t="shared" si="150"/>
        <v>0</v>
      </c>
      <c r="AP182" s="65">
        <f t="shared" si="150"/>
        <v>0</v>
      </c>
      <c r="AQ182" s="65">
        <f t="shared" si="150"/>
        <v>0</v>
      </c>
      <c r="AR182" s="65">
        <f t="shared" si="150"/>
        <v>0</v>
      </c>
      <c r="AS182" s="65">
        <f t="shared" si="150"/>
        <v>0</v>
      </c>
      <c r="AT182" s="65">
        <f t="shared" si="150"/>
        <v>0</v>
      </c>
      <c r="AU182" s="65">
        <f t="shared" si="150"/>
        <v>0</v>
      </c>
      <c r="AV182" s="65">
        <f t="shared" si="150"/>
        <v>0</v>
      </c>
      <c r="AW182" s="65">
        <f t="shared" si="150"/>
        <v>0</v>
      </c>
      <c r="AX182" s="65">
        <f t="shared" si="150"/>
        <v>0</v>
      </c>
      <c r="AY182" s="65">
        <f t="shared" si="150"/>
        <v>0</v>
      </c>
      <c r="AZ182" s="65">
        <f t="shared" si="150"/>
        <v>0</v>
      </c>
      <c r="BA182" s="65">
        <f t="shared" si="150"/>
        <v>0</v>
      </c>
      <c r="BB182" s="65">
        <f t="shared" si="150"/>
        <v>0</v>
      </c>
      <c r="BC182" s="65">
        <f t="shared" si="150"/>
        <v>0</v>
      </c>
      <c r="BD182" s="65">
        <f t="shared" si="150"/>
        <v>0</v>
      </c>
      <c r="BE182" s="65">
        <f t="shared" si="150"/>
        <v>0</v>
      </c>
      <c r="BF182" s="65">
        <f t="shared" si="150"/>
        <v>0</v>
      </c>
      <c r="BG182" s="65">
        <f t="shared" si="150"/>
        <v>0</v>
      </c>
      <c r="BH182" s="65">
        <f t="shared" si="150"/>
        <v>0</v>
      </c>
      <c r="BI182" s="65">
        <f t="shared" si="150"/>
        <v>0</v>
      </c>
      <c r="BJ182" s="65">
        <f t="shared" si="150"/>
        <v>0</v>
      </c>
      <c r="BK182" s="65">
        <f t="shared" si="150"/>
        <v>0</v>
      </c>
      <c r="BL182" s="65">
        <f t="shared" si="150"/>
        <v>0</v>
      </c>
      <c r="BM182" s="65">
        <f t="shared" si="150"/>
        <v>0</v>
      </c>
      <c r="BN182" s="65">
        <f t="shared" si="150"/>
        <v>0</v>
      </c>
      <c r="BO182" s="65">
        <f t="shared" si="150"/>
        <v>0</v>
      </c>
      <c r="BP182" s="65">
        <f t="shared" si="150"/>
        <v>0</v>
      </c>
      <c r="BQ182" s="7"/>
      <c r="BU182" s="7"/>
      <c r="BW182" s="1"/>
      <c r="BX182" s="1"/>
      <c r="CD182" s="1"/>
      <c r="CE182" s="1"/>
      <c r="CF182" s="1"/>
      <c r="CG182" s="1"/>
      <c r="CH182" s="1"/>
      <c r="CI182" s="55" t="s">
        <v>1</v>
      </c>
      <c r="DJ182" s="369" t="s">
        <v>1016</v>
      </c>
      <c r="DK182" s="463" t="s">
        <v>1017</v>
      </c>
      <c r="DL182" s="369" t="s">
        <v>964</v>
      </c>
      <c r="DM182" s="369" t="s">
        <v>1018</v>
      </c>
      <c r="DN182" s="369" t="s">
        <v>1019</v>
      </c>
      <c r="DO182" s="462" t="s">
        <v>1020</v>
      </c>
      <c r="DQ182" s="58" t="s">
        <v>231</v>
      </c>
    </row>
    <row r="183" spans="4:121" ht="19.5" customHeight="1">
      <c r="D183" s="70"/>
      <c r="E183" s="111"/>
      <c r="G183" s="106"/>
      <c r="H183" s="112"/>
      <c r="M183" s="58" t="s">
        <v>231</v>
      </c>
      <c r="P183" s="2"/>
      <c r="Q183" s="2"/>
      <c r="R183" s="2"/>
      <c r="S183" s="49"/>
      <c r="T183" s="2"/>
      <c r="W183" s="55" t="s">
        <v>1</v>
      </c>
      <c r="Z183" s="55" t="s">
        <v>274</v>
      </c>
      <c r="AB183" s="65">
        <f aca="true" t="shared" si="151" ref="AB183:BP183">IF($BS$113=0,0,IF(AB$126=0,0,1))</f>
        <v>0</v>
      </c>
      <c r="AC183" s="65">
        <f t="shared" si="151"/>
        <v>0</v>
      </c>
      <c r="AD183" s="65">
        <f t="shared" si="151"/>
        <v>0</v>
      </c>
      <c r="AE183" s="65">
        <f t="shared" si="151"/>
        <v>0</v>
      </c>
      <c r="AF183" s="65">
        <f t="shared" si="151"/>
        <v>0</v>
      </c>
      <c r="AG183" s="65">
        <f t="shared" si="151"/>
        <v>0</v>
      </c>
      <c r="AH183" s="65">
        <f t="shared" si="151"/>
        <v>0</v>
      </c>
      <c r="AI183" s="65">
        <f t="shared" si="151"/>
        <v>0</v>
      </c>
      <c r="AJ183" s="65">
        <f t="shared" si="151"/>
        <v>0</v>
      </c>
      <c r="AK183" s="65">
        <f t="shared" si="151"/>
        <v>0</v>
      </c>
      <c r="AL183" s="65">
        <f t="shared" si="151"/>
        <v>0</v>
      </c>
      <c r="AM183" s="65">
        <f t="shared" si="151"/>
        <v>0</v>
      </c>
      <c r="AN183" s="65">
        <f t="shared" si="151"/>
        <v>0</v>
      </c>
      <c r="AO183" s="65">
        <f t="shared" si="151"/>
        <v>0</v>
      </c>
      <c r="AP183" s="65">
        <f t="shared" si="151"/>
        <v>0</v>
      </c>
      <c r="AQ183" s="65">
        <f t="shared" si="151"/>
        <v>0</v>
      </c>
      <c r="AR183" s="65">
        <f t="shared" si="151"/>
        <v>0</v>
      </c>
      <c r="AS183" s="65">
        <f t="shared" si="151"/>
        <v>0</v>
      </c>
      <c r="AT183" s="65">
        <f t="shared" si="151"/>
        <v>0</v>
      </c>
      <c r="AU183" s="65">
        <f t="shared" si="151"/>
        <v>0</v>
      </c>
      <c r="AV183" s="65">
        <f t="shared" si="151"/>
        <v>0</v>
      </c>
      <c r="AW183" s="65">
        <f t="shared" si="151"/>
        <v>0</v>
      </c>
      <c r="AX183" s="65">
        <f t="shared" si="151"/>
        <v>0</v>
      </c>
      <c r="AY183" s="65">
        <f t="shared" si="151"/>
        <v>0</v>
      </c>
      <c r="AZ183" s="65">
        <f t="shared" si="151"/>
        <v>0</v>
      </c>
      <c r="BA183" s="65">
        <f t="shared" si="151"/>
        <v>0</v>
      </c>
      <c r="BB183" s="65">
        <f t="shared" si="151"/>
        <v>0</v>
      </c>
      <c r="BC183" s="65">
        <f t="shared" si="151"/>
        <v>0</v>
      </c>
      <c r="BD183" s="65">
        <f t="shared" si="151"/>
        <v>0</v>
      </c>
      <c r="BE183" s="65">
        <f t="shared" si="151"/>
        <v>0</v>
      </c>
      <c r="BF183" s="65">
        <f t="shared" si="151"/>
        <v>0</v>
      </c>
      <c r="BG183" s="65">
        <f t="shared" si="151"/>
        <v>0</v>
      </c>
      <c r="BH183" s="65">
        <f t="shared" si="151"/>
        <v>0</v>
      </c>
      <c r="BI183" s="65">
        <f t="shared" si="151"/>
        <v>0</v>
      </c>
      <c r="BJ183" s="65">
        <f t="shared" si="151"/>
        <v>0</v>
      </c>
      <c r="BK183" s="65">
        <f t="shared" si="151"/>
        <v>0</v>
      </c>
      <c r="BL183" s="65">
        <f t="shared" si="151"/>
        <v>0</v>
      </c>
      <c r="BM183" s="65">
        <f t="shared" si="151"/>
        <v>0</v>
      </c>
      <c r="BN183" s="65">
        <f t="shared" si="151"/>
        <v>0</v>
      </c>
      <c r="BO183" s="65">
        <f t="shared" si="151"/>
        <v>0</v>
      </c>
      <c r="BP183" s="65">
        <f t="shared" si="151"/>
        <v>0</v>
      </c>
      <c r="BQ183" s="7"/>
      <c r="BU183" s="7"/>
      <c r="BW183" s="1"/>
      <c r="BX183" s="1"/>
      <c r="CD183" s="1"/>
      <c r="CE183" s="1"/>
      <c r="CF183" s="1"/>
      <c r="CG183" s="1"/>
      <c r="CI183" s="55" t="s">
        <v>1</v>
      </c>
      <c r="DJ183" s="369" t="s">
        <v>1021</v>
      </c>
      <c r="DK183" s="463" t="s">
        <v>1022</v>
      </c>
      <c r="DL183" s="369" t="s">
        <v>964</v>
      </c>
      <c r="DM183" s="369" t="s">
        <v>964</v>
      </c>
      <c r="DN183" s="369" t="s">
        <v>978</v>
      </c>
      <c r="DO183" s="462" t="s">
        <v>979</v>
      </c>
      <c r="DQ183" s="58" t="s">
        <v>231</v>
      </c>
    </row>
    <row r="184" spans="2:121" ht="19.5" customHeight="1">
      <c r="B184" s="64" t="s">
        <v>345</v>
      </c>
      <c r="C184" s="56"/>
      <c r="D184" s="56"/>
      <c r="E184" s="114" t="s">
        <v>316</v>
      </c>
      <c r="F184" s="493" t="s">
        <v>234</v>
      </c>
      <c r="G184" s="493" t="s">
        <v>2256</v>
      </c>
      <c r="H184" s="494" t="s">
        <v>318</v>
      </c>
      <c r="M184" s="58" t="s">
        <v>231</v>
      </c>
      <c r="P184" s="49"/>
      <c r="Q184" s="49"/>
      <c r="R184" s="49"/>
      <c r="S184" s="49"/>
      <c r="T184" s="49"/>
      <c r="W184" s="55" t="s">
        <v>1</v>
      </c>
      <c r="AB184" s="65">
        <f aca="true" t="shared" si="152" ref="AB184:BP184">IF($BS$114=0,0,IF(AB$126=0,0,1))</f>
        <v>0</v>
      </c>
      <c r="AC184" s="65">
        <f t="shared" si="152"/>
        <v>0</v>
      </c>
      <c r="AD184" s="65">
        <f t="shared" si="152"/>
        <v>0</v>
      </c>
      <c r="AE184" s="65">
        <f t="shared" si="152"/>
        <v>0</v>
      </c>
      <c r="AF184" s="65">
        <f t="shared" si="152"/>
        <v>0</v>
      </c>
      <c r="AG184" s="65">
        <f t="shared" si="152"/>
        <v>0</v>
      </c>
      <c r="AH184" s="65">
        <f t="shared" si="152"/>
        <v>0</v>
      </c>
      <c r="AI184" s="65">
        <f t="shared" si="152"/>
        <v>0</v>
      </c>
      <c r="AJ184" s="65">
        <f t="shared" si="152"/>
        <v>0</v>
      </c>
      <c r="AK184" s="65">
        <f t="shared" si="152"/>
        <v>0</v>
      </c>
      <c r="AL184" s="65">
        <f t="shared" si="152"/>
        <v>0</v>
      </c>
      <c r="AM184" s="65">
        <f t="shared" si="152"/>
        <v>0</v>
      </c>
      <c r="AN184" s="65">
        <f t="shared" si="152"/>
        <v>0</v>
      </c>
      <c r="AO184" s="65">
        <f t="shared" si="152"/>
        <v>0</v>
      </c>
      <c r="AP184" s="65">
        <f t="shared" si="152"/>
        <v>0</v>
      </c>
      <c r="AQ184" s="65">
        <f t="shared" si="152"/>
        <v>0</v>
      </c>
      <c r="AR184" s="65">
        <f t="shared" si="152"/>
        <v>0</v>
      </c>
      <c r="AS184" s="65">
        <f t="shared" si="152"/>
        <v>0</v>
      </c>
      <c r="AT184" s="65">
        <f t="shared" si="152"/>
        <v>0</v>
      </c>
      <c r="AU184" s="65">
        <f t="shared" si="152"/>
        <v>0</v>
      </c>
      <c r="AV184" s="65">
        <f t="shared" si="152"/>
        <v>0</v>
      </c>
      <c r="AW184" s="65">
        <f t="shared" si="152"/>
        <v>0</v>
      </c>
      <c r="AX184" s="65">
        <f t="shared" si="152"/>
        <v>0</v>
      </c>
      <c r="AY184" s="65">
        <f t="shared" si="152"/>
        <v>0</v>
      </c>
      <c r="AZ184" s="65">
        <f t="shared" si="152"/>
        <v>0</v>
      </c>
      <c r="BA184" s="65">
        <f t="shared" si="152"/>
        <v>0</v>
      </c>
      <c r="BB184" s="65">
        <f t="shared" si="152"/>
        <v>0</v>
      </c>
      <c r="BC184" s="65">
        <f t="shared" si="152"/>
        <v>0</v>
      </c>
      <c r="BD184" s="65">
        <f t="shared" si="152"/>
        <v>0</v>
      </c>
      <c r="BE184" s="65">
        <f t="shared" si="152"/>
        <v>0</v>
      </c>
      <c r="BF184" s="65">
        <f t="shared" si="152"/>
        <v>0</v>
      </c>
      <c r="BG184" s="65">
        <f t="shared" si="152"/>
        <v>0</v>
      </c>
      <c r="BH184" s="65">
        <f t="shared" si="152"/>
        <v>0</v>
      </c>
      <c r="BI184" s="65">
        <f t="shared" si="152"/>
        <v>0</v>
      </c>
      <c r="BJ184" s="65">
        <f t="shared" si="152"/>
        <v>0</v>
      </c>
      <c r="BK184" s="65">
        <f t="shared" si="152"/>
        <v>0</v>
      </c>
      <c r="BL184" s="65">
        <f t="shared" si="152"/>
        <v>0</v>
      </c>
      <c r="BM184" s="65">
        <f t="shared" si="152"/>
        <v>0</v>
      </c>
      <c r="BN184" s="65">
        <f t="shared" si="152"/>
        <v>0</v>
      </c>
      <c r="BO184" s="65">
        <f t="shared" si="152"/>
        <v>0</v>
      </c>
      <c r="BP184" s="65">
        <f t="shared" si="152"/>
        <v>0</v>
      </c>
      <c r="BQ184" s="7"/>
      <c r="BU184" s="7"/>
      <c r="BW184" s="1"/>
      <c r="BX184" s="1"/>
      <c r="CD184" s="1"/>
      <c r="CE184" s="1"/>
      <c r="CF184" s="1"/>
      <c r="CG184" s="1"/>
      <c r="CI184" s="55" t="s">
        <v>1</v>
      </c>
      <c r="DJ184" s="369" t="s">
        <v>1023</v>
      </c>
      <c r="DK184" s="461" t="s">
        <v>1024</v>
      </c>
      <c r="DL184" s="369" t="s">
        <v>964</v>
      </c>
      <c r="DM184" s="369" t="s">
        <v>964</v>
      </c>
      <c r="DN184" s="369" t="s">
        <v>978</v>
      </c>
      <c r="DO184" s="462" t="s">
        <v>979</v>
      </c>
      <c r="DQ184" s="58" t="s">
        <v>231</v>
      </c>
    </row>
    <row r="185" spans="2:121" ht="19.5" customHeight="1">
      <c r="B185" s="110" t="s">
        <v>444</v>
      </c>
      <c r="E185" s="357">
        <v>2</v>
      </c>
      <c r="F185" s="498">
        <v>3.3</v>
      </c>
      <c r="G185" s="498">
        <v>4</v>
      </c>
      <c r="H185" s="499">
        <v>41729</v>
      </c>
      <c r="M185" s="58" t="s">
        <v>231</v>
      </c>
      <c r="P185" s="49"/>
      <c r="Q185" s="49"/>
      <c r="R185" s="49"/>
      <c r="S185" s="49"/>
      <c r="T185" s="49"/>
      <c r="W185" s="55" t="s">
        <v>1</v>
      </c>
      <c r="Z185" s="55" t="s">
        <v>275</v>
      </c>
      <c r="AB185" s="65">
        <f aca="true" t="shared" si="153" ref="AB185:BP185">IF($BS$115=0,0,IF(AB$126=0,0,1))</f>
        <v>0</v>
      </c>
      <c r="AC185" s="65">
        <f t="shared" si="153"/>
        <v>0</v>
      </c>
      <c r="AD185" s="65">
        <f t="shared" si="153"/>
        <v>0</v>
      </c>
      <c r="AE185" s="65">
        <f t="shared" si="153"/>
        <v>0</v>
      </c>
      <c r="AF185" s="65">
        <f t="shared" si="153"/>
        <v>0</v>
      </c>
      <c r="AG185" s="65">
        <f t="shared" si="153"/>
        <v>0</v>
      </c>
      <c r="AH185" s="65">
        <f t="shared" si="153"/>
        <v>0</v>
      </c>
      <c r="AI185" s="65">
        <f t="shared" si="153"/>
        <v>0</v>
      </c>
      <c r="AJ185" s="65">
        <f t="shared" si="153"/>
        <v>0</v>
      </c>
      <c r="AK185" s="65">
        <f t="shared" si="153"/>
        <v>0</v>
      </c>
      <c r="AL185" s="65">
        <f t="shared" si="153"/>
        <v>0</v>
      </c>
      <c r="AM185" s="65">
        <f t="shared" si="153"/>
        <v>0</v>
      </c>
      <c r="AN185" s="65">
        <f t="shared" si="153"/>
        <v>0</v>
      </c>
      <c r="AO185" s="65">
        <f t="shared" si="153"/>
        <v>0</v>
      </c>
      <c r="AP185" s="65">
        <f t="shared" si="153"/>
        <v>0</v>
      </c>
      <c r="AQ185" s="65">
        <f t="shared" si="153"/>
        <v>0</v>
      </c>
      <c r="AR185" s="65">
        <f t="shared" si="153"/>
        <v>0</v>
      </c>
      <c r="AS185" s="65">
        <f t="shared" si="153"/>
        <v>0</v>
      </c>
      <c r="AT185" s="65">
        <f t="shared" si="153"/>
        <v>0</v>
      </c>
      <c r="AU185" s="65">
        <f t="shared" si="153"/>
        <v>0</v>
      </c>
      <c r="AV185" s="65">
        <f t="shared" si="153"/>
        <v>0</v>
      </c>
      <c r="AW185" s="65">
        <f t="shared" si="153"/>
        <v>0</v>
      </c>
      <c r="AX185" s="65">
        <f t="shared" si="153"/>
        <v>0</v>
      </c>
      <c r="AY185" s="65">
        <f t="shared" si="153"/>
        <v>0</v>
      </c>
      <c r="AZ185" s="65">
        <f t="shared" si="153"/>
        <v>0</v>
      </c>
      <c r="BA185" s="65">
        <f t="shared" si="153"/>
        <v>0</v>
      </c>
      <c r="BB185" s="65">
        <f t="shared" si="153"/>
        <v>0</v>
      </c>
      <c r="BC185" s="65">
        <f t="shared" si="153"/>
        <v>0</v>
      </c>
      <c r="BD185" s="65">
        <f t="shared" si="153"/>
        <v>0</v>
      </c>
      <c r="BE185" s="65">
        <f t="shared" si="153"/>
        <v>0</v>
      </c>
      <c r="BF185" s="65">
        <f t="shared" si="153"/>
        <v>0</v>
      </c>
      <c r="BG185" s="65">
        <f t="shared" si="153"/>
        <v>0</v>
      </c>
      <c r="BH185" s="65">
        <f t="shared" si="153"/>
        <v>0</v>
      </c>
      <c r="BI185" s="65">
        <f t="shared" si="153"/>
        <v>0</v>
      </c>
      <c r="BJ185" s="65">
        <f t="shared" si="153"/>
        <v>0</v>
      </c>
      <c r="BK185" s="65">
        <f t="shared" si="153"/>
        <v>0</v>
      </c>
      <c r="BL185" s="65">
        <f t="shared" si="153"/>
        <v>0</v>
      </c>
      <c r="BM185" s="65">
        <f t="shared" si="153"/>
        <v>0</v>
      </c>
      <c r="BN185" s="65">
        <f t="shared" si="153"/>
        <v>0</v>
      </c>
      <c r="BO185" s="65">
        <f t="shared" si="153"/>
        <v>0</v>
      </c>
      <c r="BP185" s="65">
        <f t="shared" si="153"/>
        <v>0</v>
      </c>
      <c r="BQ185" s="7"/>
      <c r="BU185" s="7"/>
      <c r="BV185" s="1"/>
      <c r="BW185" s="1"/>
      <c r="BX185" s="1"/>
      <c r="CD185" s="1"/>
      <c r="CE185" s="1"/>
      <c r="CF185" s="1"/>
      <c r="CG185" s="1"/>
      <c r="CH185" s="1"/>
      <c r="CI185" s="55" t="s">
        <v>1</v>
      </c>
      <c r="DJ185" s="369" t="s">
        <v>1025</v>
      </c>
      <c r="DK185" s="461" t="s">
        <v>1026</v>
      </c>
      <c r="DL185" s="369" t="s">
        <v>1027</v>
      </c>
      <c r="DM185" s="369" t="s">
        <v>1027</v>
      </c>
      <c r="DN185" s="369" t="s">
        <v>1026</v>
      </c>
      <c r="DO185" s="462" t="s">
        <v>1028</v>
      </c>
      <c r="DQ185" s="58" t="s">
        <v>231</v>
      </c>
    </row>
    <row r="186" spans="2:121" ht="19.5" customHeight="1">
      <c r="B186" s="110" t="s">
        <v>235</v>
      </c>
      <c r="C186" s="115"/>
      <c r="D186" s="65"/>
      <c r="E186" s="357">
        <v>3</v>
      </c>
      <c r="F186" s="500">
        <v>20.53</v>
      </c>
      <c r="G186" s="500">
        <v>24.14</v>
      </c>
      <c r="H186" s="501">
        <v>45319</v>
      </c>
      <c r="M186" s="58" t="s">
        <v>231</v>
      </c>
      <c r="W186" s="55" t="s">
        <v>1</v>
      </c>
      <c r="AB186" s="65">
        <f aca="true" t="shared" si="154" ref="AB186:BP186">IF($BS$116=0,0,IF(AB$126=0,0,1))</f>
        <v>0</v>
      </c>
      <c r="AC186" s="65">
        <f t="shared" si="154"/>
        <v>0</v>
      </c>
      <c r="AD186" s="65">
        <f t="shared" si="154"/>
        <v>0</v>
      </c>
      <c r="AE186" s="65">
        <f t="shared" si="154"/>
        <v>0</v>
      </c>
      <c r="AF186" s="65">
        <f t="shared" si="154"/>
        <v>0</v>
      </c>
      <c r="AG186" s="65">
        <f t="shared" si="154"/>
        <v>0</v>
      </c>
      <c r="AH186" s="65">
        <f t="shared" si="154"/>
        <v>0</v>
      </c>
      <c r="AI186" s="65">
        <f t="shared" si="154"/>
        <v>0</v>
      </c>
      <c r="AJ186" s="65">
        <f t="shared" si="154"/>
        <v>0</v>
      </c>
      <c r="AK186" s="65">
        <f t="shared" si="154"/>
        <v>0</v>
      </c>
      <c r="AL186" s="65">
        <f t="shared" si="154"/>
        <v>0</v>
      </c>
      <c r="AM186" s="65">
        <f t="shared" si="154"/>
        <v>0</v>
      </c>
      <c r="AN186" s="65">
        <f t="shared" si="154"/>
        <v>0</v>
      </c>
      <c r="AO186" s="65">
        <f t="shared" si="154"/>
        <v>0</v>
      </c>
      <c r="AP186" s="65">
        <f t="shared" si="154"/>
        <v>0</v>
      </c>
      <c r="AQ186" s="65">
        <f t="shared" si="154"/>
        <v>0</v>
      </c>
      <c r="AR186" s="65">
        <f t="shared" si="154"/>
        <v>0</v>
      </c>
      <c r="AS186" s="65">
        <f t="shared" si="154"/>
        <v>0</v>
      </c>
      <c r="AT186" s="65">
        <f t="shared" si="154"/>
        <v>0</v>
      </c>
      <c r="AU186" s="65">
        <f t="shared" si="154"/>
        <v>0</v>
      </c>
      <c r="AV186" s="65">
        <f t="shared" si="154"/>
        <v>0</v>
      </c>
      <c r="AW186" s="65">
        <f t="shared" si="154"/>
        <v>0</v>
      </c>
      <c r="AX186" s="65">
        <f t="shared" si="154"/>
        <v>0</v>
      </c>
      <c r="AY186" s="65">
        <f t="shared" si="154"/>
        <v>0</v>
      </c>
      <c r="AZ186" s="65">
        <f t="shared" si="154"/>
        <v>0</v>
      </c>
      <c r="BA186" s="65">
        <f t="shared" si="154"/>
        <v>0</v>
      </c>
      <c r="BB186" s="65">
        <f t="shared" si="154"/>
        <v>0</v>
      </c>
      <c r="BC186" s="65">
        <f t="shared" si="154"/>
        <v>0</v>
      </c>
      <c r="BD186" s="65">
        <f t="shared" si="154"/>
        <v>0</v>
      </c>
      <c r="BE186" s="65">
        <f t="shared" si="154"/>
        <v>0</v>
      </c>
      <c r="BF186" s="65">
        <f t="shared" si="154"/>
        <v>0</v>
      </c>
      <c r="BG186" s="65">
        <f t="shared" si="154"/>
        <v>0</v>
      </c>
      <c r="BH186" s="65">
        <f t="shared" si="154"/>
        <v>0</v>
      </c>
      <c r="BI186" s="65">
        <f t="shared" si="154"/>
        <v>0</v>
      </c>
      <c r="BJ186" s="65">
        <f t="shared" si="154"/>
        <v>0</v>
      </c>
      <c r="BK186" s="65">
        <f t="shared" si="154"/>
        <v>0</v>
      </c>
      <c r="BL186" s="65">
        <f t="shared" si="154"/>
        <v>0</v>
      </c>
      <c r="BM186" s="65">
        <f t="shared" si="154"/>
        <v>0</v>
      </c>
      <c r="BN186" s="65">
        <f t="shared" si="154"/>
        <v>0</v>
      </c>
      <c r="BO186" s="65">
        <f t="shared" si="154"/>
        <v>0</v>
      </c>
      <c r="BP186" s="65">
        <f t="shared" si="154"/>
        <v>0</v>
      </c>
      <c r="BQ186" s="7"/>
      <c r="BU186" s="7"/>
      <c r="BV186" s="1"/>
      <c r="BW186" s="1"/>
      <c r="BX186" s="1"/>
      <c r="CD186" s="1"/>
      <c r="CE186" s="1"/>
      <c r="CF186" s="1"/>
      <c r="CG186" s="1"/>
      <c r="CH186" s="1"/>
      <c r="CI186" s="55" t="s">
        <v>1</v>
      </c>
      <c r="DJ186" s="369" t="s">
        <v>1029</v>
      </c>
      <c r="DK186" s="463" t="s">
        <v>1030</v>
      </c>
      <c r="DL186" s="369" t="s">
        <v>663</v>
      </c>
      <c r="DM186" s="369" t="s">
        <v>1031</v>
      </c>
      <c r="DN186" s="369" t="s">
        <v>1032</v>
      </c>
      <c r="DO186" s="462" t="s">
        <v>1033</v>
      </c>
      <c r="DQ186" s="58" t="s">
        <v>231</v>
      </c>
    </row>
    <row r="187" spans="2:121" ht="19.5" customHeight="1">
      <c r="B187" s="110" t="s">
        <v>336</v>
      </c>
      <c r="C187" s="115"/>
      <c r="D187" s="65"/>
      <c r="E187" s="357">
        <v>4</v>
      </c>
      <c r="F187" s="501">
        <v>100775.93</v>
      </c>
      <c r="G187" s="501">
        <v>72101.27</v>
      </c>
      <c r="H187" s="501">
        <v>126233</v>
      </c>
      <c r="M187" s="58" t="s">
        <v>231</v>
      </c>
      <c r="P187" s="2"/>
      <c r="Q187" s="2"/>
      <c r="R187" s="2"/>
      <c r="S187" s="49"/>
      <c r="T187" s="2"/>
      <c r="W187" s="55" t="s">
        <v>1</v>
      </c>
      <c r="Z187" s="55" t="s">
        <v>276</v>
      </c>
      <c r="AB187" s="65">
        <f aca="true" t="shared" si="155" ref="AB187:BP187">IF($BS$117=0,0,IF(AB$126=0,0,1))</f>
        <v>0</v>
      </c>
      <c r="AC187" s="65">
        <f t="shared" si="155"/>
        <v>0</v>
      </c>
      <c r="AD187" s="65">
        <f t="shared" si="155"/>
        <v>0</v>
      </c>
      <c r="AE187" s="65">
        <f t="shared" si="155"/>
        <v>0</v>
      </c>
      <c r="AF187" s="65">
        <f t="shared" si="155"/>
        <v>0</v>
      </c>
      <c r="AG187" s="65">
        <f t="shared" si="155"/>
        <v>0</v>
      </c>
      <c r="AH187" s="65">
        <f t="shared" si="155"/>
        <v>0</v>
      </c>
      <c r="AI187" s="65">
        <f t="shared" si="155"/>
        <v>0</v>
      </c>
      <c r="AJ187" s="65">
        <f t="shared" si="155"/>
        <v>0</v>
      </c>
      <c r="AK187" s="65">
        <f t="shared" si="155"/>
        <v>0</v>
      </c>
      <c r="AL187" s="65">
        <f t="shared" si="155"/>
        <v>0</v>
      </c>
      <c r="AM187" s="65">
        <f t="shared" si="155"/>
        <v>0</v>
      </c>
      <c r="AN187" s="65">
        <f t="shared" si="155"/>
        <v>0</v>
      </c>
      <c r="AO187" s="65">
        <f t="shared" si="155"/>
        <v>0</v>
      </c>
      <c r="AP187" s="65">
        <f t="shared" si="155"/>
        <v>0</v>
      </c>
      <c r="AQ187" s="65">
        <f t="shared" si="155"/>
        <v>0</v>
      </c>
      <c r="AR187" s="65">
        <f t="shared" si="155"/>
        <v>0</v>
      </c>
      <c r="AS187" s="65">
        <f t="shared" si="155"/>
        <v>0</v>
      </c>
      <c r="AT187" s="65">
        <f t="shared" si="155"/>
        <v>0</v>
      </c>
      <c r="AU187" s="65">
        <f t="shared" si="155"/>
        <v>0</v>
      </c>
      <c r="AV187" s="65">
        <f t="shared" si="155"/>
        <v>0</v>
      </c>
      <c r="AW187" s="65">
        <f t="shared" si="155"/>
        <v>0</v>
      </c>
      <c r="AX187" s="65">
        <f t="shared" si="155"/>
        <v>0</v>
      </c>
      <c r="AY187" s="65">
        <f t="shared" si="155"/>
        <v>0</v>
      </c>
      <c r="AZ187" s="65">
        <f t="shared" si="155"/>
        <v>0</v>
      </c>
      <c r="BA187" s="65">
        <f t="shared" si="155"/>
        <v>0</v>
      </c>
      <c r="BB187" s="65">
        <f t="shared" si="155"/>
        <v>0</v>
      </c>
      <c r="BC187" s="65">
        <f t="shared" si="155"/>
        <v>0</v>
      </c>
      <c r="BD187" s="65">
        <f t="shared" si="155"/>
        <v>0</v>
      </c>
      <c r="BE187" s="65">
        <f t="shared" si="155"/>
        <v>0</v>
      </c>
      <c r="BF187" s="65">
        <f t="shared" si="155"/>
        <v>0</v>
      </c>
      <c r="BG187" s="65">
        <f t="shared" si="155"/>
        <v>0</v>
      </c>
      <c r="BH187" s="65">
        <f t="shared" si="155"/>
        <v>0</v>
      </c>
      <c r="BI187" s="65">
        <f t="shared" si="155"/>
        <v>0</v>
      </c>
      <c r="BJ187" s="65">
        <f t="shared" si="155"/>
        <v>0</v>
      </c>
      <c r="BK187" s="65">
        <f t="shared" si="155"/>
        <v>0</v>
      </c>
      <c r="BL187" s="65">
        <f t="shared" si="155"/>
        <v>0</v>
      </c>
      <c r="BM187" s="65">
        <f t="shared" si="155"/>
        <v>0</v>
      </c>
      <c r="BN187" s="65">
        <f t="shared" si="155"/>
        <v>0</v>
      </c>
      <c r="BO187" s="65">
        <f t="shared" si="155"/>
        <v>0</v>
      </c>
      <c r="BP187" s="65">
        <f t="shared" si="155"/>
        <v>0</v>
      </c>
      <c r="BQ187" s="7"/>
      <c r="BU187" s="7"/>
      <c r="BW187" s="1"/>
      <c r="BX187" s="1"/>
      <c r="CD187" s="1"/>
      <c r="CE187" s="1"/>
      <c r="CF187" s="1"/>
      <c r="CG187" s="1"/>
      <c r="CH187" s="1"/>
      <c r="CI187" s="55" t="s">
        <v>1</v>
      </c>
      <c r="DJ187" s="369" t="s">
        <v>1034</v>
      </c>
      <c r="DK187" s="461" t="s">
        <v>1035</v>
      </c>
      <c r="DL187" s="369" t="s">
        <v>663</v>
      </c>
      <c r="DM187" s="369" t="s">
        <v>1031</v>
      </c>
      <c r="DN187" s="369" t="s">
        <v>1032</v>
      </c>
      <c r="DO187" s="462" t="s">
        <v>1033</v>
      </c>
      <c r="DQ187" s="58" t="s">
        <v>231</v>
      </c>
    </row>
    <row r="188" spans="2:121" ht="19.5" customHeight="1">
      <c r="B188" s="110" t="s">
        <v>236</v>
      </c>
      <c r="C188" s="115"/>
      <c r="D188" s="65"/>
      <c r="E188" s="357">
        <v>6</v>
      </c>
      <c r="F188" s="500">
        <v>58.79</v>
      </c>
      <c r="G188" s="500">
        <v>53.7</v>
      </c>
      <c r="H188" s="501">
        <v>155654</v>
      </c>
      <c r="M188" s="58" t="s">
        <v>231</v>
      </c>
      <c r="P188" s="2"/>
      <c r="Q188" s="2"/>
      <c r="R188" s="2"/>
      <c r="S188" s="49"/>
      <c r="T188" s="2"/>
      <c r="W188" s="55" t="s">
        <v>1</v>
      </c>
      <c r="AB188" s="65">
        <f aca="true" t="shared" si="156" ref="AB188:BP188">IF($BS$118=0,0,IF(AB$126=0,0,1))</f>
        <v>0</v>
      </c>
      <c r="AC188" s="65">
        <f t="shared" si="156"/>
        <v>0</v>
      </c>
      <c r="AD188" s="65">
        <f t="shared" si="156"/>
        <v>0</v>
      </c>
      <c r="AE188" s="65">
        <f t="shared" si="156"/>
        <v>0</v>
      </c>
      <c r="AF188" s="65">
        <f t="shared" si="156"/>
        <v>0</v>
      </c>
      <c r="AG188" s="65">
        <f t="shared" si="156"/>
        <v>0</v>
      </c>
      <c r="AH188" s="65">
        <f t="shared" si="156"/>
        <v>0</v>
      </c>
      <c r="AI188" s="65">
        <f t="shared" si="156"/>
        <v>0</v>
      </c>
      <c r="AJ188" s="65">
        <f t="shared" si="156"/>
        <v>0</v>
      </c>
      <c r="AK188" s="65">
        <f t="shared" si="156"/>
        <v>0</v>
      </c>
      <c r="AL188" s="65">
        <f t="shared" si="156"/>
        <v>0</v>
      </c>
      <c r="AM188" s="65">
        <f t="shared" si="156"/>
        <v>0</v>
      </c>
      <c r="AN188" s="65">
        <f t="shared" si="156"/>
        <v>0</v>
      </c>
      <c r="AO188" s="65">
        <f t="shared" si="156"/>
        <v>0</v>
      </c>
      <c r="AP188" s="65">
        <f t="shared" si="156"/>
        <v>0</v>
      </c>
      <c r="AQ188" s="65">
        <f t="shared" si="156"/>
        <v>0</v>
      </c>
      <c r="AR188" s="65">
        <f t="shared" si="156"/>
        <v>0</v>
      </c>
      <c r="AS188" s="65">
        <f t="shared" si="156"/>
        <v>0</v>
      </c>
      <c r="AT188" s="65">
        <f t="shared" si="156"/>
        <v>0</v>
      </c>
      <c r="AU188" s="65">
        <f t="shared" si="156"/>
        <v>0</v>
      </c>
      <c r="AV188" s="65">
        <f t="shared" si="156"/>
        <v>0</v>
      </c>
      <c r="AW188" s="65">
        <f t="shared" si="156"/>
        <v>0</v>
      </c>
      <c r="AX188" s="65">
        <f t="shared" si="156"/>
        <v>0</v>
      </c>
      <c r="AY188" s="65">
        <f t="shared" si="156"/>
        <v>0</v>
      </c>
      <c r="AZ188" s="65">
        <f t="shared" si="156"/>
        <v>0</v>
      </c>
      <c r="BA188" s="65">
        <f t="shared" si="156"/>
        <v>0</v>
      </c>
      <c r="BB188" s="65">
        <f t="shared" si="156"/>
        <v>0</v>
      </c>
      <c r="BC188" s="65">
        <f t="shared" si="156"/>
        <v>0</v>
      </c>
      <c r="BD188" s="65">
        <f t="shared" si="156"/>
        <v>0</v>
      </c>
      <c r="BE188" s="65">
        <f t="shared" si="156"/>
        <v>0</v>
      </c>
      <c r="BF188" s="65">
        <f t="shared" si="156"/>
        <v>0</v>
      </c>
      <c r="BG188" s="65">
        <f t="shared" si="156"/>
        <v>0</v>
      </c>
      <c r="BH188" s="65">
        <f t="shared" si="156"/>
        <v>0</v>
      </c>
      <c r="BI188" s="65">
        <f t="shared" si="156"/>
        <v>0</v>
      </c>
      <c r="BJ188" s="65">
        <f t="shared" si="156"/>
        <v>0</v>
      </c>
      <c r="BK188" s="65">
        <f t="shared" si="156"/>
        <v>0</v>
      </c>
      <c r="BL188" s="65">
        <f t="shared" si="156"/>
        <v>0</v>
      </c>
      <c r="BM188" s="65">
        <f t="shared" si="156"/>
        <v>0</v>
      </c>
      <c r="BN188" s="65">
        <f t="shared" si="156"/>
        <v>0</v>
      </c>
      <c r="BO188" s="65">
        <f t="shared" si="156"/>
        <v>0</v>
      </c>
      <c r="BP188" s="65">
        <f t="shared" si="156"/>
        <v>0</v>
      </c>
      <c r="BQ188" s="7"/>
      <c r="BU188" s="7"/>
      <c r="BV188" s="1"/>
      <c r="BW188" s="1"/>
      <c r="BX188" s="1"/>
      <c r="CD188" s="1"/>
      <c r="CE188" s="1"/>
      <c r="CF188" s="1"/>
      <c r="CG188" s="1"/>
      <c r="CH188" s="1"/>
      <c r="CI188" s="55" t="s">
        <v>1</v>
      </c>
      <c r="DJ188" s="369" t="s">
        <v>1036</v>
      </c>
      <c r="DK188" s="461" t="s">
        <v>1037</v>
      </c>
      <c r="DL188" s="369" t="s">
        <v>663</v>
      </c>
      <c r="DM188" s="369" t="s">
        <v>1031</v>
      </c>
      <c r="DN188" s="369" t="s">
        <v>1032</v>
      </c>
      <c r="DO188" s="462" t="s">
        <v>1033</v>
      </c>
      <c r="DQ188" s="58" t="s">
        <v>231</v>
      </c>
    </row>
    <row r="189" spans="2:121" ht="19.5" customHeight="1">
      <c r="B189" s="110" t="s">
        <v>445</v>
      </c>
      <c r="E189" s="358">
        <v>7</v>
      </c>
      <c r="F189" s="498">
        <v>21.97</v>
      </c>
      <c r="G189" s="498">
        <v>20.17</v>
      </c>
      <c r="H189" s="499">
        <v>340760</v>
      </c>
      <c r="M189" s="58" t="s">
        <v>231</v>
      </c>
      <c r="O189" s="59"/>
      <c r="P189" s="59"/>
      <c r="Q189" s="59"/>
      <c r="R189" s="59"/>
      <c r="S189" s="59"/>
      <c r="T189" s="59"/>
      <c r="W189" s="55" t="s">
        <v>1</v>
      </c>
      <c r="Z189" s="55" t="s">
        <v>277</v>
      </c>
      <c r="AB189" s="65">
        <f aca="true" t="shared" si="157" ref="AB189:BP189">IF($BS$119=0,0,IF(AB$126=0,0,1))</f>
        <v>0</v>
      </c>
      <c r="AC189" s="65">
        <f t="shared" si="157"/>
        <v>0</v>
      </c>
      <c r="AD189" s="65">
        <f t="shared" si="157"/>
        <v>0</v>
      </c>
      <c r="AE189" s="65">
        <f t="shared" si="157"/>
        <v>0</v>
      </c>
      <c r="AF189" s="65">
        <f t="shared" si="157"/>
        <v>0</v>
      </c>
      <c r="AG189" s="65">
        <f t="shared" si="157"/>
        <v>0</v>
      </c>
      <c r="AH189" s="65">
        <f t="shared" si="157"/>
        <v>0</v>
      </c>
      <c r="AI189" s="65">
        <f t="shared" si="157"/>
        <v>0</v>
      </c>
      <c r="AJ189" s="65">
        <f t="shared" si="157"/>
        <v>0</v>
      </c>
      <c r="AK189" s="65">
        <f t="shared" si="157"/>
        <v>0</v>
      </c>
      <c r="AL189" s="65">
        <f t="shared" si="157"/>
        <v>0</v>
      </c>
      <c r="AM189" s="65">
        <f t="shared" si="157"/>
        <v>0</v>
      </c>
      <c r="AN189" s="65">
        <f t="shared" si="157"/>
        <v>0</v>
      </c>
      <c r="AO189" s="65">
        <f t="shared" si="157"/>
        <v>0</v>
      </c>
      <c r="AP189" s="65">
        <f t="shared" si="157"/>
        <v>0</v>
      </c>
      <c r="AQ189" s="65">
        <f t="shared" si="157"/>
        <v>0</v>
      </c>
      <c r="AR189" s="65">
        <f t="shared" si="157"/>
        <v>0</v>
      </c>
      <c r="AS189" s="65">
        <f t="shared" si="157"/>
        <v>0</v>
      </c>
      <c r="AT189" s="65">
        <f t="shared" si="157"/>
        <v>0</v>
      </c>
      <c r="AU189" s="65">
        <f t="shared" si="157"/>
        <v>0</v>
      </c>
      <c r="AV189" s="65">
        <f t="shared" si="157"/>
        <v>0</v>
      </c>
      <c r="AW189" s="65">
        <f t="shared" si="157"/>
        <v>0</v>
      </c>
      <c r="AX189" s="65">
        <f t="shared" si="157"/>
        <v>0</v>
      </c>
      <c r="AY189" s="65">
        <f t="shared" si="157"/>
        <v>0</v>
      </c>
      <c r="AZ189" s="65">
        <f t="shared" si="157"/>
        <v>0</v>
      </c>
      <c r="BA189" s="65">
        <f t="shared" si="157"/>
        <v>0</v>
      </c>
      <c r="BB189" s="65">
        <f t="shared" si="157"/>
        <v>0</v>
      </c>
      <c r="BC189" s="65">
        <f t="shared" si="157"/>
        <v>0</v>
      </c>
      <c r="BD189" s="65">
        <f t="shared" si="157"/>
        <v>0</v>
      </c>
      <c r="BE189" s="65">
        <f t="shared" si="157"/>
        <v>0</v>
      </c>
      <c r="BF189" s="65">
        <f t="shared" si="157"/>
        <v>0</v>
      </c>
      <c r="BG189" s="65">
        <f t="shared" si="157"/>
        <v>0</v>
      </c>
      <c r="BH189" s="65">
        <f t="shared" si="157"/>
        <v>0</v>
      </c>
      <c r="BI189" s="65">
        <f t="shared" si="157"/>
        <v>0</v>
      </c>
      <c r="BJ189" s="65">
        <f t="shared" si="157"/>
        <v>0</v>
      </c>
      <c r="BK189" s="65">
        <f t="shared" si="157"/>
        <v>0</v>
      </c>
      <c r="BL189" s="65">
        <f t="shared" si="157"/>
        <v>0</v>
      </c>
      <c r="BM189" s="65">
        <f t="shared" si="157"/>
        <v>0</v>
      </c>
      <c r="BN189" s="65">
        <f t="shared" si="157"/>
        <v>0</v>
      </c>
      <c r="BO189" s="65">
        <f t="shared" si="157"/>
        <v>0</v>
      </c>
      <c r="BP189" s="65">
        <f t="shared" si="157"/>
        <v>0</v>
      </c>
      <c r="BQ189" s="7"/>
      <c r="BU189" s="7"/>
      <c r="BV189" s="1"/>
      <c r="BW189" s="1"/>
      <c r="BX189" s="1"/>
      <c r="CD189" s="1"/>
      <c r="CE189" s="1"/>
      <c r="CF189" s="1"/>
      <c r="CG189" s="1"/>
      <c r="CH189" s="1"/>
      <c r="CI189" s="55" t="s">
        <v>1</v>
      </c>
      <c r="DJ189" s="369" t="s">
        <v>1038</v>
      </c>
      <c r="DK189" s="461" t="s">
        <v>1039</v>
      </c>
      <c r="DL189" s="369" t="s">
        <v>663</v>
      </c>
      <c r="DM189" s="369" t="s">
        <v>1031</v>
      </c>
      <c r="DN189" s="369" t="s">
        <v>1032</v>
      </c>
      <c r="DO189" s="462" t="s">
        <v>1033</v>
      </c>
      <c r="DQ189" s="58" t="s">
        <v>231</v>
      </c>
    </row>
    <row r="190" spans="2:121" ht="19.5" customHeight="1">
      <c r="B190" s="110" t="s">
        <v>237</v>
      </c>
      <c r="C190" s="115"/>
      <c r="D190" s="65"/>
      <c r="E190" s="357">
        <v>8</v>
      </c>
      <c r="F190" s="500">
        <v>15.7</v>
      </c>
      <c r="G190" s="500">
        <v>3.29</v>
      </c>
      <c r="H190" s="501">
        <v>367617</v>
      </c>
      <c r="M190" s="58" t="s">
        <v>231</v>
      </c>
      <c r="P190" s="2"/>
      <c r="Q190" s="2"/>
      <c r="R190" s="2"/>
      <c r="S190" s="1"/>
      <c r="T190" s="2"/>
      <c r="W190" s="55" t="s">
        <v>1</v>
      </c>
      <c r="AA190" s="55" t="s">
        <v>2</v>
      </c>
      <c r="AB190" s="65" t="s">
        <v>280</v>
      </c>
      <c r="AH190" s="74"/>
      <c r="AV190" s="65" t="s">
        <v>280</v>
      </c>
      <c r="BB190" s="74"/>
      <c r="BP190" s="65" t="s">
        <v>280</v>
      </c>
      <c r="BQ190" s="7"/>
      <c r="BU190" s="7"/>
      <c r="BV190" s="1"/>
      <c r="BW190" s="1"/>
      <c r="BX190" s="1"/>
      <c r="CD190" s="1"/>
      <c r="CE190" s="1"/>
      <c r="CF190" s="1"/>
      <c r="CG190" s="1"/>
      <c r="CH190" s="1"/>
      <c r="CI190" s="55" t="s">
        <v>1</v>
      </c>
      <c r="DJ190" s="369" t="s">
        <v>1040</v>
      </c>
      <c r="DK190" s="461" t="s">
        <v>1041</v>
      </c>
      <c r="DL190" s="369" t="s">
        <v>663</v>
      </c>
      <c r="DM190" s="369" t="s">
        <v>1031</v>
      </c>
      <c r="DN190" s="369" t="s">
        <v>1032</v>
      </c>
      <c r="DO190" s="462" t="s">
        <v>1033</v>
      </c>
      <c r="DQ190" s="58" t="s">
        <v>231</v>
      </c>
    </row>
    <row r="191" spans="2:121" ht="19.5" customHeight="1">
      <c r="B191" s="110" t="s">
        <v>480</v>
      </c>
      <c r="C191" s="115"/>
      <c r="D191" s="65"/>
      <c r="E191" s="357">
        <v>9</v>
      </c>
      <c r="F191" s="500">
        <v>4.12</v>
      </c>
      <c r="G191" s="500">
        <v>12.18</v>
      </c>
      <c r="H191" s="501">
        <v>382255</v>
      </c>
      <c r="M191" s="58" t="s">
        <v>231</v>
      </c>
      <c r="S191" s="1"/>
      <c r="T191" s="2"/>
      <c r="W191" s="55" t="s">
        <v>1</v>
      </c>
      <c r="AA191" s="55" t="s">
        <v>2</v>
      </c>
      <c r="AB191" s="65" t="s">
        <v>280</v>
      </c>
      <c r="AG191" s="65" t="s">
        <v>280</v>
      </c>
      <c r="AL191" s="65" t="s">
        <v>280</v>
      </c>
      <c r="AQ191" s="65" t="s">
        <v>280</v>
      </c>
      <c r="AV191" s="65" t="s">
        <v>280</v>
      </c>
      <c r="BA191" s="65" t="s">
        <v>280</v>
      </c>
      <c r="BF191" s="65" t="s">
        <v>280</v>
      </c>
      <c r="BH191" s="7"/>
      <c r="BI191" s="7"/>
      <c r="BJ191" s="7"/>
      <c r="BK191" s="65" t="s">
        <v>280</v>
      </c>
      <c r="BM191" s="7"/>
      <c r="BN191" s="7"/>
      <c r="BO191" s="7"/>
      <c r="BP191" s="65" t="s">
        <v>280</v>
      </c>
      <c r="BU191" s="7"/>
      <c r="BV191" s="1"/>
      <c r="BW191" s="1"/>
      <c r="BX191" s="1"/>
      <c r="CD191" s="1"/>
      <c r="CE191" s="1"/>
      <c r="CF191" s="1"/>
      <c r="CG191" s="1"/>
      <c r="CH191" s="1"/>
      <c r="CI191" s="55" t="s">
        <v>1</v>
      </c>
      <c r="DJ191" s="369" t="s">
        <v>1042</v>
      </c>
      <c r="DK191" s="461" t="s">
        <v>1043</v>
      </c>
      <c r="DL191" s="369" t="s">
        <v>1044</v>
      </c>
      <c r="DM191" s="369" t="s">
        <v>1044</v>
      </c>
      <c r="DN191" s="369" t="s">
        <v>1045</v>
      </c>
      <c r="DO191" s="462" t="s">
        <v>1046</v>
      </c>
      <c r="DQ191" s="58" t="s">
        <v>231</v>
      </c>
    </row>
    <row r="192" spans="2:121" ht="19.5" customHeight="1">
      <c r="B192" s="110" t="s">
        <v>238</v>
      </c>
      <c r="C192" s="115"/>
      <c r="D192" s="65"/>
      <c r="E192" s="357">
        <v>10</v>
      </c>
      <c r="F192" s="500">
        <v>10.13</v>
      </c>
      <c r="G192" s="500">
        <v>24.11</v>
      </c>
      <c r="H192" s="501">
        <v>382419</v>
      </c>
      <c r="M192" s="58" t="s">
        <v>231</v>
      </c>
      <c r="W192" s="55" t="s">
        <v>1</v>
      </c>
      <c r="AB192" s="58" t="s">
        <v>83</v>
      </c>
      <c r="AG192" s="58" t="s">
        <v>281</v>
      </c>
      <c r="AL192" s="58" t="s">
        <v>84</v>
      </c>
      <c r="AP192" s="7"/>
      <c r="AQ192" s="58" t="s">
        <v>282</v>
      </c>
      <c r="AV192" s="77" t="s">
        <v>85</v>
      </c>
      <c r="BA192" s="58" t="s">
        <v>283</v>
      </c>
      <c r="BF192" s="58" t="s">
        <v>284</v>
      </c>
      <c r="BH192" s="7"/>
      <c r="BI192" s="7"/>
      <c r="BJ192" s="7"/>
      <c r="BK192" s="58" t="s">
        <v>285</v>
      </c>
      <c r="BM192" s="7"/>
      <c r="BN192" s="7"/>
      <c r="BO192" s="7"/>
      <c r="BP192" s="58" t="s">
        <v>286</v>
      </c>
      <c r="BQ192" s="7"/>
      <c r="BU192" s="7"/>
      <c r="BV192" s="1"/>
      <c r="BW192" s="1"/>
      <c r="BX192" s="1"/>
      <c r="CD192" s="1"/>
      <c r="CE192" s="1"/>
      <c r="CF192" s="1"/>
      <c r="CG192" s="1"/>
      <c r="CH192" s="1"/>
      <c r="CI192" s="55" t="s">
        <v>1</v>
      </c>
      <c r="DJ192" s="369" t="s">
        <v>1047</v>
      </c>
      <c r="DK192" s="461" t="s">
        <v>1048</v>
      </c>
      <c r="DL192" s="369" t="s">
        <v>1044</v>
      </c>
      <c r="DM192" s="369" t="s">
        <v>1044</v>
      </c>
      <c r="DN192" s="369" t="s">
        <v>1045</v>
      </c>
      <c r="DO192" s="462" t="s">
        <v>1046</v>
      </c>
      <c r="DQ192" s="58" t="s">
        <v>231</v>
      </c>
    </row>
    <row r="193" spans="2:121" ht="19.5" customHeight="1">
      <c r="B193" s="110" t="s">
        <v>239</v>
      </c>
      <c r="C193" s="115"/>
      <c r="D193" s="65"/>
      <c r="E193" s="357">
        <v>12</v>
      </c>
      <c r="F193" s="500">
        <v>3.97</v>
      </c>
      <c r="G193" s="500">
        <v>6.63</v>
      </c>
      <c r="H193" s="501">
        <v>443389</v>
      </c>
      <c r="M193" s="58" t="s">
        <v>231</v>
      </c>
      <c r="W193" s="55" t="s">
        <v>1</v>
      </c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3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3"/>
      <c r="BE193" s="103"/>
      <c r="BF193" s="103"/>
      <c r="BG193" s="103"/>
      <c r="BH193" s="103"/>
      <c r="BI193" s="103"/>
      <c r="BJ193" s="103"/>
      <c r="BK193" s="103"/>
      <c r="BL193" s="103"/>
      <c r="BM193" s="103"/>
      <c r="BN193" s="102"/>
      <c r="BO193" s="7"/>
      <c r="BP193" s="7"/>
      <c r="BU193" s="7"/>
      <c r="BV193" s="1"/>
      <c r="BW193" s="1"/>
      <c r="BX193" s="1"/>
      <c r="CD193" s="1"/>
      <c r="CE193" s="1"/>
      <c r="CF193" s="1"/>
      <c r="CG193" s="1"/>
      <c r="CH193" s="1"/>
      <c r="CI193" s="55" t="s">
        <v>1</v>
      </c>
      <c r="DJ193" s="369" t="s">
        <v>1049</v>
      </c>
      <c r="DK193" s="463" t="s">
        <v>1050</v>
      </c>
      <c r="DL193" s="369" t="s">
        <v>1044</v>
      </c>
      <c r="DM193" s="369" t="s">
        <v>1044</v>
      </c>
      <c r="DN193" s="369" t="s">
        <v>1045</v>
      </c>
      <c r="DO193" s="462" t="s">
        <v>1046</v>
      </c>
      <c r="DQ193" s="58" t="s">
        <v>231</v>
      </c>
    </row>
    <row r="194" spans="2:121" ht="19.5" customHeight="1">
      <c r="B194" s="110" t="s">
        <v>240</v>
      </c>
      <c r="C194" s="115"/>
      <c r="D194" s="65"/>
      <c r="E194" s="357">
        <v>13</v>
      </c>
      <c r="F194" s="502">
        <v>1.3</v>
      </c>
      <c r="G194" s="502">
        <v>1.51</v>
      </c>
      <c r="H194" s="501">
        <v>440057</v>
      </c>
      <c r="M194" s="58" t="s">
        <v>231</v>
      </c>
      <c r="W194" s="55" t="s">
        <v>1</v>
      </c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3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3"/>
      <c r="BE194" s="103"/>
      <c r="BF194" s="103"/>
      <c r="BG194" s="103"/>
      <c r="BH194" s="103"/>
      <c r="BI194" s="103"/>
      <c r="BJ194" s="103"/>
      <c r="BK194" s="103"/>
      <c r="BL194" s="103"/>
      <c r="BM194" s="103"/>
      <c r="BN194" s="102"/>
      <c r="BO194" s="7"/>
      <c r="BP194" s="7"/>
      <c r="BU194" s="7"/>
      <c r="BW194" s="1"/>
      <c r="BX194" s="1"/>
      <c r="CD194" s="1"/>
      <c r="CE194" s="1"/>
      <c r="CF194" s="1"/>
      <c r="CG194" s="1"/>
      <c r="CH194" s="1"/>
      <c r="CI194" s="55" t="s">
        <v>1</v>
      </c>
      <c r="DJ194" s="369" t="s">
        <v>1051</v>
      </c>
      <c r="DK194" s="461" t="s">
        <v>1052</v>
      </c>
      <c r="DL194" s="369" t="s">
        <v>1044</v>
      </c>
      <c r="DM194" s="369" t="s">
        <v>1044</v>
      </c>
      <c r="DN194" s="369" t="s">
        <v>1045</v>
      </c>
      <c r="DO194" s="462" t="s">
        <v>1046</v>
      </c>
      <c r="DQ194" s="58" t="s">
        <v>231</v>
      </c>
    </row>
    <row r="195" spans="2:121" ht="19.5" customHeight="1">
      <c r="B195" s="110" t="s">
        <v>2243</v>
      </c>
      <c r="C195" s="115"/>
      <c r="D195" s="65"/>
      <c r="E195" s="357">
        <v>17</v>
      </c>
      <c r="F195" s="503">
        <v>68.18</v>
      </c>
      <c r="G195" s="503">
        <v>39.72</v>
      </c>
      <c r="H195" s="501">
        <v>41736</v>
      </c>
      <c r="M195" s="58" t="s">
        <v>231</v>
      </c>
      <c r="W195" s="55" t="s">
        <v>1</v>
      </c>
      <c r="X195" s="59" t="s">
        <v>0</v>
      </c>
      <c r="Y195" s="59" t="s">
        <v>0</v>
      </c>
      <c r="Z195" s="59" t="s">
        <v>0</v>
      </c>
      <c r="AA195" s="59" t="s">
        <v>0</v>
      </c>
      <c r="AB195" s="59" t="s">
        <v>0</v>
      </c>
      <c r="AC195" s="59" t="s">
        <v>0</v>
      </c>
      <c r="AD195" s="59" t="s">
        <v>0</v>
      </c>
      <c r="AE195" s="59" t="s">
        <v>0</v>
      </c>
      <c r="AF195" s="59" t="s">
        <v>0</v>
      </c>
      <c r="AG195" s="59" t="s">
        <v>0</v>
      </c>
      <c r="AH195" s="59" t="s">
        <v>0</v>
      </c>
      <c r="AI195" s="59" t="s">
        <v>0</v>
      </c>
      <c r="AJ195" s="59" t="s">
        <v>0</v>
      </c>
      <c r="AK195" s="59" t="s">
        <v>0</v>
      </c>
      <c r="AL195" s="59" t="s">
        <v>0</v>
      </c>
      <c r="AM195" s="59" t="s">
        <v>0</v>
      </c>
      <c r="AN195" s="59" t="s">
        <v>0</v>
      </c>
      <c r="AO195" s="59" t="s">
        <v>0</v>
      </c>
      <c r="AP195" s="59" t="s">
        <v>0</v>
      </c>
      <c r="AQ195" s="59" t="s">
        <v>0</v>
      </c>
      <c r="AR195" s="59" t="s">
        <v>0</v>
      </c>
      <c r="AS195" s="59" t="s">
        <v>0</v>
      </c>
      <c r="AT195" s="59" t="s">
        <v>0</v>
      </c>
      <c r="AU195" s="59" t="s">
        <v>0</v>
      </c>
      <c r="AV195" s="59" t="s">
        <v>0</v>
      </c>
      <c r="AW195" s="59" t="s">
        <v>0</v>
      </c>
      <c r="AX195" s="59" t="s">
        <v>0</v>
      </c>
      <c r="AY195" s="59" t="s">
        <v>0</v>
      </c>
      <c r="AZ195" s="59" t="s">
        <v>0</v>
      </c>
      <c r="BA195" s="59" t="s">
        <v>0</v>
      </c>
      <c r="BB195" s="59" t="s">
        <v>0</v>
      </c>
      <c r="BC195" s="59" t="s">
        <v>0</v>
      </c>
      <c r="BD195" s="59" t="s">
        <v>0</v>
      </c>
      <c r="BE195" s="59" t="s">
        <v>0</v>
      </c>
      <c r="BF195" s="59" t="s">
        <v>0</v>
      </c>
      <c r="BG195" s="59" t="s">
        <v>0</v>
      </c>
      <c r="BH195" s="59" t="s">
        <v>0</v>
      </c>
      <c r="BI195" s="59" t="s">
        <v>0</v>
      </c>
      <c r="BJ195" s="59" t="s">
        <v>0</v>
      </c>
      <c r="BK195" s="59" t="s">
        <v>0</v>
      </c>
      <c r="BL195" s="59" t="s">
        <v>0</v>
      </c>
      <c r="BM195" s="59" t="s">
        <v>0</v>
      </c>
      <c r="BN195" s="59" t="s">
        <v>0</v>
      </c>
      <c r="BO195" s="59" t="s">
        <v>0</v>
      </c>
      <c r="BP195" s="59" t="s">
        <v>0</v>
      </c>
      <c r="BQ195" s="59" t="s">
        <v>0</v>
      </c>
      <c r="BR195" s="59" t="s">
        <v>0</v>
      </c>
      <c r="BS195" s="59" t="s">
        <v>0</v>
      </c>
      <c r="BT195" s="59" t="s">
        <v>0</v>
      </c>
      <c r="BU195" s="59" t="s">
        <v>0</v>
      </c>
      <c r="BV195" s="59" t="s">
        <v>0</v>
      </c>
      <c r="BW195" s="59" t="s">
        <v>0</v>
      </c>
      <c r="BX195" s="59" t="s">
        <v>0</v>
      </c>
      <c r="BY195" s="59" t="s">
        <v>0</v>
      </c>
      <c r="BZ195" s="59" t="s">
        <v>0</v>
      </c>
      <c r="CA195" s="59" t="s">
        <v>0</v>
      </c>
      <c r="CB195" s="59" t="s">
        <v>0</v>
      </c>
      <c r="CC195" s="59" t="s">
        <v>0</v>
      </c>
      <c r="CD195" s="59" t="s">
        <v>0</v>
      </c>
      <c r="CE195" s="59" t="s">
        <v>0</v>
      </c>
      <c r="CF195" s="59" t="s">
        <v>0</v>
      </c>
      <c r="CG195" s="59" t="s">
        <v>0</v>
      </c>
      <c r="CH195" s="59" t="s">
        <v>0</v>
      </c>
      <c r="CI195" s="55" t="s">
        <v>1</v>
      </c>
      <c r="DJ195" s="369" t="s">
        <v>1053</v>
      </c>
      <c r="DK195" s="461" t="s">
        <v>1054</v>
      </c>
      <c r="DL195" s="369" t="s">
        <v>1044</v>
      </c>
      <c r="DM195" s="369" t="s">
        <v>1044</v>
      </c>
      <c r="DN195" s="369" t="s">
        <v>1045</v>
      </c>
      <c r="DO195" s="462" t="s">
        <v>1046</v>
      </c>
      <c r="DQ195" s="58" t="s">
        <v>231</v>
      </c>
    </row>
    <row r="196" spans="2:121" ht="19.5" customHeight="1">
      <c r="B196" s="110" t="s">
        <v>2244</v>
      </c>
      <c r="C196" s="115"/>
      <c r="D196" s="65"/>
      <c r="E196" s="357">
        <v>18</v>
      </c>
      <c r="F196" s="503">
        <v>80.24</v>
      </c>
      <c r="G196" s="503">
        <v>41.95</v>
      </c>
      <c r="H196" s="501">
        <v>47787</v>
      </c>
      <c r="M196" s="58" t="s">
        <v>231</v>
      </c>
      <c r="W196" s="55" t="s">
        <v>1</v>
      </c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3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3"/>
      <c r="BE196" s="103"/>
      <c r="BF196" s="103"/>
      <c r="BG196" s="103"/>
      <c r="BH196" s="103"/>
      <c r="BI196" s="103"/>
      <c r="BJ196" s="103"/>
      <c r="BK196" s="103"/>
      <c r="BL196" s="103"/>
      <c r="BM196" s="102"/>
      <c r="BN196" s="102"/>
      <c r="BO196" s="7"/>
      <c r="BP196" s="7"/>
      <c r="BQ196" s="7"/>
      <c r="BU196" s="7"/>
      <c r="BV196" s="1"/>
      <c r="BW196" s="1"/>
      <c r="BX196" s="1"/>
      <c r="CD196" s="1"/>
      <c r="CE196" s="1"/>
      <c r="CF196" s="1"/>
      <c r="CG196" s="1"/>
      <c r="CH196" s="1"/>
      <c r="CI196" s="55" t="s">
        <v>1</v>
      </c>
      <c r="DJ196" s="369" t="s">
        <v>1055</v>
      </c>
      <c r="DK196" s="463" t="s">
        <v>1056</v>
      </c>
      <c r="DL196" s="369" t="s">
        <v>652</v>
      </c>
      <c r="DM196" s="369" t="s">
        <v>890</v>
      </c>
      <c r="DN196" s="369" t="s">
        <v>891</v>
      </c>
      <c r="DO196" s="462" t="s">
        <v>892</v>
      </c>
      <c r="DQ196" s="58" t="s">
        <v>231</v>
      </c>
    </row>
    <row r="197" spans="2:121" ht="19.5" customHeight="1">
      <c r="B197" s="110" t="s">
        <v>241</v>
      </c>
      <c r="C197" s="115"/>
      <c r="D197" s="65"/>
      <c r="E197" s="357">
        <v>19</v>
      </c>
      <c r="F197" s="498">
        <v>47.28</v>
      </c>
      <c r="G197" s="500">
        <v>43.14</v>
      </c>
      <c r="H197" s="501">
        <v>444299</v>
      </c>
      <c r="M197" s="58" t="s">
        <v>231</v>
      </c>
      <c r="W197" s="55" t="s">
        <v>1</v>
      </c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3"/>
      <c r="AS197" s="102"/>
      <c r="AU197" s="55" t="s">
        <v>291</v>
      </c>
      <c r="AV197" s="102"/>
      <c r="AW197" s="102"/>
      <c r="AX197" s="102"/>
      <c r="AY197" s="102"/>
      <c r="AZ197" s="102"/>
      <c r="BA197" s="102"/>
      <c r="BB197" s="102"/>
      <c r="BC197" s="102"/>
      <c r="BD197" s="103"/>
      <c r="BE197" s="103"/>
      <c r="BF197" s="103"/>
      <c r="BG197" s="103"/>
      <c r="BH197" s="103"/>
      <c r="BI197" s="103"/>
      <c r="BJ197" s="103"/>
      <c r="BK197" s="103"/>
      <c r="BL197" s="103"/>
      <c r="BM197" s="103"/>
      <c r="BN197" s="102"/>
      <c r="BO197" s="7"/>
      <c r="BP197" s="7"/>
      <c r="BU197" s="7"/>
      <c r="BV197" s="1"/>
      <c r="BW197" s="1"/>
      <c r="BX197" s="1"/>
      <c r="CD197" s="1"/>
      <c r="CE197" s="1"/>
      <c r="CF197" s="1"/>
      <c r="CG197" s="1"/>
      <c r="CH197" s="1"/>
      <c r="CI197" s="55" t="s">
        <v>1</v>
      </c>
      <c r="DJ197" s="369" t="s">
        <v>1057</v>
      </c>
      <c r="DK197" s="463" t="s">
        <v>1058</v>
      </c>
      <c r="DL197" s="369" t="s">
        <v>663</v>
      </c>
      <c r="DM197" s="369" t="s">
        <v>1031</v>
      </c>
      <c r="DN197" s="369" t="s">
        <v>1032</v>
      </c>
      <c r="DO197" s="462" t="s">
        <v>1033</v>
      </c>
      <c r="DQ197" s="58" t="s">
        <v>231</v>
      </c>
    </row>
    <row r="198" spans="2:121" ht="19.5" customHeight="1">
      <c r="B198" s="424" t="s">
        <v>2404</v>
      </c>
      <c r="J198" s="58" t="s">
        <v>231</v>
      </c>
      <c r="M198" s="58" t="s">
        <v>231</v>
      </c>
      <c r="W198" s="55" t="s">
        <v>1</v>
      </c>
      <c r="AG198" s="74"/>
      <c r="AP198" s="7"/>
      <c r="BD198" s="74"/>
      <c r="BF198" s="7"/>
      <c r="BG198" s="7"/>
      <c r="BH198" s="7"/>
      <c r="BI198" s="7"/>
      <c r="BJ198" s="7"/>
      <c r="BK198" s="7"/>
      <c r="BL198" s="7"/>
      <c r="BM198" s="7"/>
      <c r="BN198" s="7"/>
      <c r="BP198" s="7"/>
      <c r="BU198" s="7"/>
      <c r="BW198" s="1"/>
      <c r="BX198" s="1"/>
      <c r="CD198" s="1"/>
      <c r="CE198" s="1"/>
      <c r="CF198" s="1"/>
      <c r="CG198" s="1"/>
      <c r="CH198" s="1"/>
      <c r="CI198" s="55" t="s">
        <v>1</v>
      </c>
      <c r="DJ198" s="369" t="s">
        <v>1059</v>
      </c>
      <c r="DK198" s="463" t="s">
        <v>1060</v>
      </c>
      <c r="DL198" s="369" t="s">
        <v>663</v>
      </c>
      <c r="DM198" s="369" t="s">
        <v>1031</v>
      </c>
      <c r="DN198" s="369" t="s">
        <v>1032</v>
      </c>
      <c r="DO198" s="462" t="s">
        <v>1033</v>
      </c>
      <c r="DQ198" s="58" t="s">
        <v>231</v>
      </c>
    </row>
    <row r="199" spans="13:121" ht="19.5" customHeight="1">
      <c r="M199" s="58" t="s">
        <v>231</v>
      </c>
      <c r="W199" s="55" t="s">
        <v>1</v>
      </c>
      <c r="Z199" s="55" t="s">
        <v>267</v>
      </c>
      <c r="AB199" s="65">
        <f aca="true" t="shared" si="158" ref="AB199:BP199">IF($BT$99=0,0,IF(AB$127=0,0,1))</f>
        <v>0</v>
      </c>
      <c r="AC199" s="65">
        <f t="shared" si="158"/>
        <v>0</v>
      </c>
      <c r="AD199" s="65">
        <f t="shared" si="158"/>
        <v>0</v>
      </c>
      <c r="AE199" s="65">
        <f t="shared" si="158"/>
        <v>0</v>
      </c>
      <c r="AF199" s="65">
        <f t="shared" si="158"/>
        <v>0</v>
      </c>
      <c r="AG199" s="65">
        <f t="shared" si="158"/>
        <v>0</v>
      </c>
      <c r="AH199" s="65">
        <f t="shared" si="158"/>
        <v>0</v>
      </c>
      <c r="AI199" s="65">
        <f t="shared" si="158"/>
        <v>0</v>
      </c>
      <c r="AJ199" s="65">
        <f t="shared" si="158"/>
        <v>0</v>
      </c>
      <c r="AK199" s="65">
        <f t="shared" si="158"/>
        <v>0</v>
      </c>
      <c r="AL199" s="65">
        <f t="shared" si="158"/>
        <v>0</v>
      </c>
      <c r="AM199" s="65">
        <f t="shared" si="158"/>
        <v>0</v>
      </c>
      <c r="AN199" s="65">
        <f t="shared" si="158"/>
        <v>0</v>
      </c>
      <c r="AO199" s="65">
        <f t="shared" si="158"/>
        <v>0</v>
      </c>
      <c r="AP199" s="65">
        <f t="shared" si="158"/>
        <v>0</v>
      </c>
      <c r="AQ199" s="65">
        <f t="shared" si="158"/>
        <v>0</v>
      </c>
      <c r="AR199" s="65">
        <f t="shared" si="158"/>
        <v>0</v>
      </c>
      <c r="AS199" s="65">
        <f t="shared" si="158"/>
        <v>0</v>
      </c>
      <c r="AT199" s="65">
        <f t="shared" si="158"/>
        <v>0</v>
      </c>
      <c r="AU199" s="65">
        <f t="shared" si="158"/>
        <v>0</v>
      </c>
      <c r="AV199" s="65">
        <f t="shared" si="158"/>
        <v>0</v>
      </c>
      <c r="AW199" s="65">
        <f t="shared" si="158"/>
        <v>0</v>
      </c>
      <c r="AX199" s="65">
        <f t="shared" si="158"/>
        <v>0</v>
      </c>
      <c r="AY199" s="65">
        <f t="shared" si="158"/>
        <v>0</v>
      </c>
      <c r="AZ199" s="65">
        <f t="shared" si="158"/>
        <v>1</v>
      </c>
      <c r="BA199" s="65">
        <f t="shared" si="158"/>
        <v>0</v>
      </c>
      <c r="BB199" s="65">
        <f t="shared" si="158"/>
        <v>0</v>
      </c>
      <c r="BC199" s="65">
        <f t="shared" si="158"/>
        <v>0</v>
      </c>
      <c r="BD199" s="65">
        <f t="shared" si="158"/>
        <v>0</v>
      </c>
      <c r="BE199" s="65">
        <f t="shared" si="158"/>
        <v>0</v>
      </c>
      <c r="BF199" s="65">
        <f t="shared" si="158"/>
        <v>0</v>
      </c>
      <c r="BG199" s="65">
        <f t="shared" si="158"/>
        <v>0</v>
      </c>
      <c r="BH199" s="65">
        <f t="shared" si="158"/>
        <v>0</v>
      </c>
      <c r="BI199" s="65">
        <f t="shared" si="158"/>
        <v>0</v>
      </c>
      <c r="BJ199" s="65">
        <f t="shared" si="158"/>
        <v>0</v>
      </c>
      <c r="BK199" s="65">
        <f t="shared" si="158"/>
        <v>0</v>
      </c>
      <c r="BL199" s="65">
        <f t="shared" si="158"/>
        <v>0</v>
      </c>
      <c r="BM199" s="65">
        <f t="shared" si="158"/>
        <v>0</v>
      </c>
      <c r="BN199" s="65">
        <f t="shared" si="158"/>
        <v>0</v>
      </c>
      <c r="BO199" s="65">
        <f t="shared" si="158"/>
        <v>0</v>
      </c>
      <c r="BP199" s="65">
        <f t="shared" si="158"/>
        <v>0</v>
      </c>
      <c r="BQ199" s="7"/>
      <c r="BU199" s="7"/>
      <c r="BV199" s="1"/>
      <c r="BW199" s="1"/>
      <c r="BX199" s="1"/>
      <c r="CD199" s="1"/>
      <c r="CE199" s="1"/>
      <c r="CF199" s="1"/>
      <c r="CG199" s="1"/>
      <c r="CH199" s="1"/>
      <c r="CI199" s="55" t="s">
        <v>1</v>
      </c>
      <c r="DJ199" s="369" t="s">
        <v>1061</v>
      </c>
      <c r="DK199" s="463" t="s">
        <v>1062</v>
      </c>
      <c r="DL199" s="369" t="s">
        <v>663</v>
      </c>
      <c r="DM199" s="369" t="s">
        <v>1031</v>
      </c>
      <c r="DN199" s="369" t="s">
        <v>1032</v>
      </c>
      <c r="DO199" s="462" t="s">
        <v>1033</v>
      </c>
      <c r="DQ199" s="58" t="s">
        <v>231</v>
      </c>
    </row>
    <row r="200" spans="13:121" ht="19.5" customHeight="1">
      <c r="M200" s="58" t="s">
        <v>231</v>
      </c>
      <c r="W200" s="55" t="s">
        <v>1</v>
      </c>
      <c r="AB200" s="65">
        <f aca="true" t="shared" si="159" ref="AB200:BP200">IF($BT$100=0,0,IF(AB$127=0,0,1))</f>
        <v>0</v>
      </c>
      <c r="AC200" s="65">
        <f t="shared" si="159"/>
        <v>0</v>
      </c>
      <c r="AD200" s="65">
        <f t="shared" si="159"/>
        <v>0</v>
      </c>
      <c r="AE200" s="65">
        <f t="shared" si="159"/>
        <v>0</v>
      </c>
      <c r="AF200" s="65">
        <f t="shared" si="159"/>
        <v>0</v>
      </c>
      <c r="AG200" s="65">
        <f t="shared" si="159"/>
        <v>0</v>
      </c>
      <c r="AH200" s="65">
        <f t="shared" si="159"/>
        <v>0</v>
      </c>
      <c r="AI200" s="65">
        <f t="shared" si="159"/>
        <v>0</v>
      </c>
      <c r="AJ200" s="65">
        <f t="shared" si="159"/>
        <v>0</v>
      </c>
      <c r="AK200" s="65">
        <f t="shared" si="159"/>
        <v>0</v>
      </c>
      <c r="AL200" s="65">
        <f t="shared" si="159"/>
        <v>0</v>
      </c>
      <c r="AM200" s="65">
        <f t="shared" si="159"/>
        <v>0</v>
      </c>
      <c r="AN200" s="65">
        <f t="shared" si="159"/>
        <v>0</v>
      </c>
      <c r="AO200" s="65">
        <f t="shared" si="159"/>
        <v>0</v>
      </c>
      <c r="AP200" s="65">
        <f t="shared" si="159"/>
        <v>0</v>
      </c>
      <c r="AQ200" s="65">
        <f t="shared" si="159"/>
        <v>0</v>
      </c>
      <c r="AR200" s="65">
        <f t="shared" si="159"/>
        <v>0</v>
      </c>
      <c r="AS200" s="65">
        <f t="shared" si="159"/>
        <v>0</v>
      </c>
      <c r="AT200" s="65">
        <f t="shared" si="159"/>
        <v>0</v>
      </c>
      <c r="AU200" s="65">
        <f t="shared" si="159"/>
        <v>0</v>
      </c>
      <c r="AV200" s="65">
        <f t="shared" si="159"/>
        <v>0</v>
      </c>
      <c r="AW200" s="65">
        <f t="shared" si="159"/>
        <v>0</v>
      </c>
      <c r="AX200" s="65">
        <f t="shared" si="159"/>
        <v>0</v>
      </c>
      <c r="AY200" s="65">
        <f t="shared" si="159"/>
        <v>0</v>
      </c>
      <c r="AZ200" s="65">
        <f t="shared" si="159"/>
        <v>0</v>
      </c>
      <c r="BA200" s="65">
        <f t="shared" si="159"/>
        <v>0</v>
      </c>
      <c r="BB200" s="65">
        <f t="shared" si="159"/>
        <v>0</v>
      </c>
      <c r="BC200" s="65">
        <f t="shared" si="159"/>
        <v>0</v>
      </c>
      <c r="BD200" s="65">
        <f t="shared" si="159"/>
        <v>0</v>
      </c>
      <c r="BE200" s="65">
        <f t="shared" si="159"/>
        <v>0</v>
      </c>
      <c r="BF200" s="65">
        <f t="shared" si="159"/>
        <v>0</v>
      </c>
      <c r="BG200" s="65">
        <f t="shared" si="159"/>
        <v>0</v>
      </c>
      <c r="BH200" s="65">
        <f t="shared" si="159"/>
        <v>0</v>
      </c>
      <c r="BI200" s="65">
        <f t="shared" si="159"/>
        <v>0</v>
      </c>
      <c r="BJ200" s="65">
        <f t="shared" si="159"/>
        <v>0</v>
      </c>
      <c r="BK200" s="65">
        <f t="shared" si="159"/>
        <v>0</v>
      </c>
      <c r="BL200" s="65">
        <f t="shared" si="159"/>
        <v>0</v>
      </c>
      <c r="BM200" s="65">
        <f t="shared" si="159"/>
        <v>0</v>
      </c>
      <c r="BN200" s="65">
        <f t="shared" si="159"/>
        <v>0</v>
      </c>
      <c r="BO200" s="65">
        <f t="shared" si="159"/>
        <v>0</v>
      </c>
      <c r="BP200" s="65">
        <f t="shared" si="159"/>
        <v>0</v>
      </c>
      <c r="BU200" s="7"/>
      <c r="BV200" s="1"/>
      <c r="BW200" s="1"/>
      <c r="BX200" s="1"/>
      <c r="CD200" s="1"/>
      <c r="CE200" s="1"/>
      <c r="CF200" s="1"/>
      <c r="CG200" s="1"/>
      <c r="CH200" s="1"/>
      <c r="CI200" s="55" t="s">
        <v>1</v>
      </c>
      <c r="DJ200" s="369" t="s">
        <v>1063</v>
      </c>
      <c r="DK200" s="463" t="s">
        <v>1064</v>
      </c>
      <c r="DL200" s="369" t="s">
        <v>663</v>
      </c>
      <c r="DM200" s="369" t="s">
        <v>1031</v>
      </c>
      <c r="DN200" s="369" t="s">
        <v>1032</v>
      </c>
      <c r="DO200" s="462" t="s">
        <v>1033</v>
      </c>
      <c r="DQ200" s="58" t="s">
        <v>231</v>
      </c>
    </row>
    <row r="201" spans="13:121" ht="19.5" customHeight="1">
      <c r="M201" s="58" t="s">
        <v>231</v>
      </c>
      <c r="W201" s="55" t="s">
        <v>1</v>
      </c>
      <c r="Z201" s="55" t="s">
        <v>268</v>
      </c>
      <c r="AB201" s="65">
        <f aca="true" t="shared" si="160" ref="AB201:BP201">IF($BT$101=0,0,IF(AB$127=0,0,1))</f>
        <v>0</v>
      </c>
      <c r="AC201" s="65">
        <f t="shared" si="160"/>
        <v>0</v>
      </c>
      <c r="AD201" s="65">
        <f t="shared" si="160"/>
        <v>0</v>
      </c>
      <c r="AE201" s="65">
        <f t="shared" si="160"/>
        <v>0</v>
      </c>
      <c r="AF201" s="65">
        <f t="shared" si="160"/>
        <v>0</v>
      </c>
      <c r="AG201" s="65">
        <f t="shared" si="160"/>
        <v>0</v>
      </c>
      <c r="AH201" s="65">
        <f t="shared" si="160"/>
        <v>0</v>
      </c>
      <c r="AI201" s="65">
        <f t="shared" si="160"/>
        <v>0</v>
      </c>
      <c r="AJ201" s="65">
        <f t="shared" si="160"/>
        <v>0</v>
      </c>
      <c r="AK201" s="65">
        <f t="shared" si="160"/>
        <v>0</v>
      </c>
      <c r="AL201" s="65">
        <f t="shared" si="160"/>
        <v>0</v>
      </c>
      <c r="AM201" s="65">
        <f t="shared" si="160"/>
        <v>0</v>
      </c>
      <c r="AN201" s="65">
        <f t="shared" si="160"/>
        <v>0</v>
      </c>
      <c r="AO201" s="65">
        <f t="shared" si="160"/>
        <v>0</v>
      </c>
      <c r="AP201" s="65">
        <f t="shared" si="160"/>
        <v>0</v>
      </c>
      <c r="AQ201" s="65">
        <f t="shared" si="160"/>
        <v>0</v>
      </c>
      <c r="AR201" s="65">
        <f t="shared" si="160"/>
        <v>0</v>
      </c>
      <c r="AS201" s="65">
        <f t="shared" si="160"/>
        <v>0</v>
      </c>
      <c r="AT201" s="65">
        <f t="shared" si="160"/>
        <v>0</v>
      </c>
      <c r="AU201" s="65">
        <f t="shared" si="160"/>
        <v>0</v>
      </c>
      <c r="AV201" s="65">
        <f t="shared" si="160"/>
        <v>0</v>
      </c>
      <c r="AW201" s="65">
        <f t="shared" si="160"/>
        <v>0</v>
      </c>
      <c r="AX201" s="65">
        <f t="shared" si="160"/>
        <v>0</v>
      </c>
      <c r="AY201" s="65">
        <f t="shared" si="160"/>
        <v>0</v>
      </c>
      <c r="AZ201" s="65">
        <f t="shared" si="160"/>
        <v>0</v>
      </c>
      <c r="BA201" s="65">
        <f t="shared" si="160"/>
        <v>0</v>
      </c>
      <c r="BB201" s="65">
        <f t="shared" si="160"/>
        <v>0</v>
      </c>
      <c r="BC201" s="65">
        <f t="shared" si="160"/>
        <v>0</v>
      </c>
      <c r="BD201" s="65">
        <f t="shared" si="160"/>
        <v>0</v>
      </c>
      <c r="BE201" s="65">
        <f t="shared" si="160"/>
        <v>0</v>
      </c>
      <c r="BF201" s="65">
        <f t="shared" si="160"/>
        <v>0</v>
      </c>
      <c r="BG201" s="65">
        <f t="shared" si="160"/>
        <v>0</v>
      </c>
      <c r="BH201" s="65">
        <f t="shared" si="160"/>
        <v>0</v>
      </c>
      <c r="BI201" s="65">
        <f t="shared" si="160"/>
        <v>0</v>
      </c>
      <c r="BJ201" s="65">
        <f t="shared" si="160"/>
        <v>0</v>
      </c>
      <c r="BK201" s="65">
        <f t="shared" si="160"/>
        <v>0</v>
      </c>
      <c r="BL201" s="65">
        <f t="shared" si="160"/>
        <v>0</v>
      </c>
      <c r="BM201" s="65">
        <f t="shared" si="160"/>
        <v>0</v>
      </c>
      <c r="BN201" s="65">
        <f t="shared" si="160"/>
        <v>0</v>
      </c>
      <c r="BO201" s="65">
        <f t="shared" si="160"/>
        <v>0</v>
      </c>
      <c r="BP201" s="65">
        <f t="shared" si="160"/>
        <v>0</v>
      </c>
      <c r="BU201" s="7"/>
      <c r="BV201" s="1"/>
      <c r="BW201" s="1"/>
      <c r="BX201" s="1"/>
      <c r="CD201" s="1"/>
      <c r="CE201" s="1"/>
      <c r="CF201" s="1"/>
      <c r="CG201" s="1"/>
      <c r="CH201" s="1"/>
      <c r="CI201" s="55" t="s">
        <v>1</v>
      </c>
      <c r="DJ201" s="369" t="s">
        <v>1065</v>
      </c>
      <c r="DK201" s="461" t="s">
        <v>1066</v>
      </c>
      <c r="DL201" s="369" t="s">
        <v>1067</v>
      </c>
      <c r="DM201" s="369" t="s">
        <v>1068</v>
      </c>
      <c r="DN201" s="369" t="s">
        <v>1069</v>
      </c>
      <c r="DO201" s="462" t="s">
        <v>1065</v>
      </c>
      <c r="DQ201" s="58" t="s">
        <v>231</v>
      </c>
    </row>
    <row r="202" spans="13:121" ht="19.5" customHeight="1">
      <c r="M202" s="58" t="s">
        <v>231</v>
      </c>
      <c r="W202" s="55" t="s">
        <v>1</v>
      </c>
      <c r="AB202" s="65">
        <f aca="true" t="shared" si="161" ref="AB202:BP202">IF($BT$102=0,0,IF(AB$127=0,0,1))</f>
        <v>0</v>
      </c>
      <c r="AC202" s="65">
        <f t="shared" si="161"/>
        <v>0</v>
      </c>
      <c r="AD202" s="65">
        <f t="shared" si="161"/>
        <v>0</v>
      </c>
      <c r="AE202" s="65">
        <f t="shared" si="161"/>
        <v>0</v>
      </c>
      <c r="AF202" s="65">
        <f t="shared" si="161"/>
        <v>0</v>
      </c>
      <c r="AG202" s="65">
        <f t="shared" si="161"/>
        <v>0</v>
      </c>
      <c r="AH202" s="65">
        <f t="shared" si="161"/>
        <v>0</v>
      </c>
      <c r="AI202" s="65">
        <f t="shared" si="161"/>
        <v>0</v>
      </c>
      <c r="AJ202" s="65">
        <f t="shared" si="161"/>
        <v>0</v>
      </c>
      <c r="AK202" s="65">
        <f t="shared" si="161"/>
        <v>0</v>
      </c>
      <c r="AL202" s="65">
        <f t="shared" si="161"/>
        <v>0</v>
      </c>
      <c r="AM202" s="65">
        <f t="shared" si="161"/>
        <v>0</v>
      </c>
      <c r="AN202" s="65">
        <f t="shared" si="161"/>
        <v>0</v>
      </c>
      <c r="AO202" s="65">
        <f t="shared" si="161"/>
        <v>0</v>
      </c>
      <c r="AP202" s="65">
        <f t="shared" si="161"/>
        <v>0</v>
      </c>
      <c r="AQ202" s="65">
        <f t="shared" si="161"/>
        <v>0</v>
      </c>
      <c r="AR202" s="65">
        <f t="shared" si="161"/>
        <v>0</v>
      </c>
      <c r="AS202" s="65">
        <f t="shared" si="161"/>
        <v>0</v>
      </c>
      <c r="AT202" s="65">
        <f t="shared" si="161"/>
        <v>0</v>
      </c>
      <c r="AU202" s="65">
        <f t="shared" si="161"/>
        <v>0</v>
      </c>
      <c r="AV202" s="65">
        <f t="shared" si="161"/>
        <v>0</v>
      </c>
      <c r="AW202" s="65">
        <f t="shared" si="161"/>
        <v>0</v>
      </c>
      <c r="AX202" s="65">
        <f t="shared" si="161"/>
        <v>0</v>
      </c>
      <c r="AY202" s="65">
        <f t="shared" si="161"/>
        <v>0</v>
      </c>
      <c r="AZ202" s="65">
        <f t="shared" si="161"/>
        <v>0</v>
      </c>
      <c r="BA202" s="65">
        <f t="shared" si="161"/>
        <v>0</v>
      </c>
      <c r="BB202" s="65">
        <f t="shared" si="161"/>
        <v>0</v>
      </c>
      <c r="BC202" s="65">
        <f t="shared" si="161"/>
        <v>0</v>
      </c>
      <c r="BD202" s="65">
        <f t="shared" si="161"/>
        <v>0</v>
      </c>
      <c r="BE202" s="65">
        <f t="shared" si="161"/>
        <v>0</v>
      </c>
      <c r="BF202" s="65">
        <f t="shared" si="161"/>
        <v>0</v>
      </c>
      <c r="BG202" s="65">
        <f t="shared" si="161"/>
        <v>0</v>
      </c>
      <c r="BH202" s="65">
        <f t="shared" si="161"/>
        <v>0</v>
      </c>
      <c r="BI202" s="65">
        <f t="shared" si="161"/>
        <v>0</v>
      </c>
      <c r="BJ202" s="65">
        <f t="shared" si="161"/>
        <v>0</v>
      </c>
      <c r="BK202" s="65">
        <f t="shared" si="161"/>
        <v>0</v>
      </c>
      <c r="BL202" s="65">
        <f t="shared" si="161"/>
        <v>0</v>
      </c>
      <c r="BM202" s="65">
        <f t="shared" si="161"/>
        <v>0</v>
      </c>
      <c r="BN202" s="65">
        <f t="shared" si="161"/>
        <v>0</v>
      </c>
      <c r="BO202" s="65">
        <f t="shared" si="161"/>
        <v>0</v>
      </c>
      <c r="BP202" s="65">
        <f t="shared" si="161"/>
        <v>0</v>
      </c>
      <c r="BU202" s="7"/>
      <c r="BV202" s="1"/>
      <c r="BW202" s="1"/>
      <c r="BX202" s="1"/>
      <c r="CD202" s="1"/>
      <c r="CE202" s="1"/>
      <c r="CF202" s="1"/>
      <c r="CG202" s="1"/>
      <c r="CH202" s="1"/>
      <c r="CI202" s="55" t="s">
        <v>1</v>
      </c>
      <c r="DJ202" s="369" t="s">
        <v>1070</v>
      </c>
      <c r="DK202" s="463" t="s">
        <v>1071</v>
      </c>
      <c r="DL202" s="369" t="s">
        <v>1067</v>
      </c>
      <c r="DM202" s="369" t="s">
        <v>1072</v>
      </c>
      <c r="DN202" s="369" t="s">
        <v>1073</v>
      </c>
      <c r="DO202" s="462" t="s">
        <v>1070</v>
      </c>
      <c r="DQ202" s="58" t="s">
        <v>231</v>
      </c>
    </row>
    <row r="203" spans="13:121" ht="19.5" customHeight="1">
      <c r="M203" s="58" t="s">
        <v>231</v>
      </c>
      <c r="W203" s="55" t="s">
        <v>1</v>
      </c>
      <c r="Z203" s="55" t="s">
        <v>269</v>
      </c>
      <c r="AB203" s="65">
        <f aca="true" t="shared" si="162" ref="AB203:BP203">IF($BT$103=0,0,IF(AB$127=0,0,1))</f>
        <v>0</v>
      </c>
      <c r="AC203" s="65">
        <f t="shared" si="162"/>
        <v>0</v>
      </c>
      <c r="AD203" s="65">
        <f t="shared" si="162"/>
        <v>0</v>
      </c>
      <c r="AE203" s="65">
        <f t="shared" si="162"/>
        <v>0</v>
      </c>
      <c r="AF203" s="65">
        <f t="shared" si="162"/>
        <v>0</v>
      </c>
      <c r="AG203" s="65">
        <f t="shared" si="162"/>
        <v>0</v>
      </c>
      <c r="AH203" s="65">
        <f t="shared" si="162"/>
        <v>0</v>
      </c>
      <c r="AI203" s="65">
        <f t="shared" si="162"/>
        <v>0</v>
      </c>
      <c r="AJ203" s="65">
        <f t="shared" si="162"/>
        <v>0</v>
      </c>
      <c r="AK203" s="65">
        <f t="shared" si="162"/>
        <v>0</v>
      </c>
      <c r="AL203" s="65">
        <f t="shared" si="162"/>
        <v>0</v>
      </c>
      <c r="AM203" s="65">
        <f t="shared" si="162"/>
        <v>0</v>
      </c>
      <c r="AN203" s="65">
        <f t="shared" si="162"/>
        <v>0</v>
      </c>
      <c r="AO203" s="65">
        <f t="shared" si="162"/>
        <v>0</v>
      </c>
      <c r="AP203" s="65">
        <f t="shared" si="162"/>
        <v>0</v>
      </c>
      <c r="AQ203" s="65">
        <f t="shared" si="162"/>
        <v>0</v>
      </c>
      <c r="AR203" s="65">
        <f t="shared" si="162"/>
        <v>0</v>
      </c>
      <c r="AS203" s="65">
        <f t="shared" si="162"/>
        <v>0</v>
      </c>
      <c r="AT203" s="65">
        <f t="shared" si="162"/>
        <v>0</v>
      </c>
      <c r="AU203" s="65">
        <f t="shared" si="162"/>
        <v>0</v>
      </c>
      <c r="AV203" s="65">
        <f t="shared" si="162"/>
        <v>0</v>
      </c>
      <c r="AW203" s="65">
        <f t="shared" si="162"/>
        <v>0</v>
      </c>
      <c r="AX203" s="65">
        <f t="shared" si="162"/>
        <v>0</v>
      </c>
      <c r="AY203" s="65">
        <f t="shared" si="162"/>
        <v>0</v>
      </c>
      <c r="AZ203" s="65">
        <f t="shared" si="162"/>
        <v>0</v>
      </c>
      <c r="BA203" s="65">
        <f t="shared" si="162"/>
        <v>0</v>
      </c>
      <c r="BB203" s="65">
        <f t="shared" si="162"/>
        <v>0</v>
      </c>
      <c r="BC203" s="65">
        <f t="shared" si="162"/>
        <v>0</v>
      </c>
      <c r="BD203" s="65">
        <f t="shared" si="162"/>
        <v>0</v>
      </c>
      <c r="BE203" s="65">
        <f t="shared" si="162"/>
        <v>0</v>
      </c>
      <c r="BF203" s="65">
        <f t="shared" si="162"/>
        <v>0</v>
      </c>
      <c r="BG203" s="65">
        <f t="shared" si="162"/>
        <v>0</v>
      </c>
      <c r="BH203" s="65">
        <f t="shared" si="162"/>
        <v>0</v>
      </c>
      <c r="BI203" s="65">
        <f t="shared" si="162"/>
        <v>0</v>
      </c>
      <c r="BJ203" s="65">
        <f t="shared" si="162"/>
        <v>0</v>
      </c>
      <c r="BK203" s="65">
        <f t="shared" si="162"/>
        <v>0</v>
      </c>
      <c r="BL203" s="65">
        <f t="shared" si="162"/>
        <v>0</v>
      </c>
      <c r="BM203" s="65">
        <f t="shared" si="162"/>
        <v>0</v>
      </c>
      <c r="BN203" s="65">
        <f t="shared" si="162"/>
        <v>0</v>
      </c>
      <c r="BO203" s="65">
        <f t="shared" si="162"/>
        <v>0</v>
      </c>
      <c r="BP203" s="65">
        <f t="shared" si="162"/>
        <v>0</v>
      </c>
      <c r="BU203" s="7"/>
      <c r="BV203" s="1"/>
      <c r="BW203" s="1"/>
      <c r="BX203" s="1"/>
      <c r="CD203" s="1"/>
      <c r="CE203" s="1"/>
      <c r="CF203" s="1"/>
      <c r="CG203" s="1"/>
      <c r="CH203" s="1"/>
      <c r="CI203" s="55" t="s">
        <v>1</v>
      </c>
      <c r="DJ203" s="369" t="s">
        <v>1074</v>
      </c>
      <c r="DK203" s="461" t="s">
        <v>1075</v>
      </c>
      <c r="DL203" s="369" t="s">
        <v>1067</v>
      </c>
      <c r="DM203" s="369" t="s">
        <v>1076</v>
      </c>
      <c r="DN203" s="369" t="s">
        <v>1077</v>
      </c>
      <c r="DO203" s="462" t="s">
        <v>1078</v>
      </c>
      <c r="DQ203" s="58" t="s">
        <v>231</v>
      </c>
    </row>
    <row r="204" spans="13:121" ht="19.5" customHeight="1">
      <c r="M204" s="58" t="s">
        <v>231</v>
      </c>
      <c r="W204" s="55" t="s">
        <v>1</v>
      </c>
      <c r="AB204" s="65">
        <f aca="true" t="shared" si="163" ref="AB204:BP204">IF($BT$104=0,0,IF(AB$127=0,0,1))</f>
        <v>0</v>
      </c>
      <c r="AC204" s="65">
        <f t="shared" si="163"/>
        <v>0</v>
      </c>
      <c r="AD204" s="65">
        <f t="shared" si="163"/>
        <v>0</v>
      </c>
      <c r="AE204" s="65">
        <f t="shared" si="163"/>
        <v>0</v>
      </c>
      <c r="AF204" s="65">
        <f t="shared" si="163"/>
        <v>0</v>
      </c>
      <c r="AG204" s="65">
        <f t="shared" si="163"/>
        <v>0</v>
      </c>
      <c r="AH204" s="65">
        <f t="shared" si="163"/>
        <v>0</v>
      </c>
      <c r="AI204" s="65">
        <f t="shared" si="163"/>
        <v>0</v>
      </c>
      <c r="AJ204" s="65">
        <f t="shared" si="163"/>
        <v>0</v>
      </c>
      <c r="AK204" s="65">
        <f t="shared" si="163"/>
        <v>0</v>
      </c>
      <c r="AL204" s="65">
        <f t="shared" si="163"/>
        <v>0</v>
      </c>
      <c r="AM204" s="65">
        <f t="shared" si="163"/>
        <v>0</v>
      </c>
      <c r="AN204" s="65">
        <f t="shared" si="163"/>
        <v>0</v>
      </c>
      <c r="AO204" s="65">
        <f t="shared" si="163"/>
        <v>0</v>
      </c>
      <c r="AP204" s="65">
        <f t="shared" si="163"/>
        <v>0</v>
      </c>
      <c r="AQ204" s="65">
        <f t="shared" si="163"/>
        <v>0</v>
      </c>
      <c r="AR204" s="65">
        <f t="shared" si="163"/>
        <v>0</v>
      </c>
      <c r="AS204" s="65">
        <f t="shared" si="163"/>
        <v>0</v>
      </c>
      <c r="AT204" s="65">
        <f t="shared" si="163"/>
        <v>0</v>
      </c>
      <c r="AU204" s="65">
        <f t="shared" si="163"/>
        <v>0</v>
      </c>
      <c r="AV204" s="65">
        <f t="shared" si="163"/>
        <v>0</v>
      </c>
      <c r="AW204" s="65">
        <f t="shared" si="163"/>
        <v>0</v>
      </c>
      <c r="AX204" s="65">
        <f t="shared" si="163"/>
        <v>0</v>
      </c>
      <c r="AY204" s="65">
        <f t="shared" si="163"/>
        <v>0</v>
      </c>
      <c r="AZ204" s="65">
        <f t="shared" si="163"/>
        <v>0</v>
      </c>
      <c r="BA204" s="65">
        <f t="shared" si="163"/>
        <v>0</v>
      </c>
      <c r="BB204" s="65">
        <f t="shared" si="163"/>
        <v>0</v>
      </c>
      <c r="BC204" s="65">
        <f t="shared" si="163"/>
        <v>0</v>
      </c>
      <c r="BD204" s="65">
        <f t="shared" si="163"/>
        <v>0</v>
      </c>
      <c r="BE204" s="65">
        <f t="shared" si="163"/>
        <v>0</v>
      </c>
      <c r="BF204" s="65">
        <f t="shared" si="163"/>
        <v>0</v>
      </c>
      <c r="BG204" s="65">
        <f t="shared" si="163"/>
        <v>0</v>
      </c>
      <c r="BH204" s="65">
        <f t="shared" si="163"/>
        <v>0</v>
      </c>
      <c r="BI204" s="65">
        <f t="shared" si="163"/>
        <v>0</v>
      </c>
      <c r="BJ204" s="65">
        <f t="shared" si="163"/>
        <v>0</v>
      </c>
      <c r="BK204" s="65">
        <f t="shared" si="163"/>
        <v>0</v>
      </c>
      <c r="BL204" s="65">
        <f t="shared" si="163"/>
        <v>0</v>
      </c>
      <c r="BM204" s="65">
        <f t="shared" si="163"/>
        <v>0</v>
      </c>
      <c r="BN204" s="65">
        <f t="shared" si="163"/>
        <v>0</v>
      </c>
      <c r="BO204" s="65">
        <f t="shared" si="163"/>
        <v>0</v>
      </c>
      <c r="BP204" s="65">
        <f t="shared" si="163"/>
        <v>0</v>
      </c>
      <c r="BU204" s="7"/>
      <c r="BV204" s="1"/>
      <c r="BW204" s="1"/>
      <c r="BX204" s="1"/>
      <c r="CD204" s="1"/>
      <c r="CE204" s="1"/>
      <c r="CF204" s="1"/>
      <c r="CG204" s="1"/>
      <c r="CH204" s="1"/>
      <c r="CI204" s="55" t="s">
        <v>1</v>
      </c>
      <c r="DJ204" s="369" t="s">
        <v>1079</v>
      </c>
      <c r="DK204" s="461" t="s">
        <v>1080</v>
      </c>
      <c r="DL204" s="369" t="s">
        <v>1067</v>
      </c>
      <c r="DM204" s="369" t="s">
        <v>1076</v>
      </c>
      <c r="DN204" s="369" t="s">
        <v>1077</v>
      </c>
      <c r="DO204" s="462" t="s">
        <v>1078</v>
      </c>
      <c r="DQ204" s="58" t="s">
        <v>231</v>
      </c>
    </row>
    <row r="205" spans="13:121" ht="19.5" customHeight="1">
      <c r="M205" s="58" t="s">
        <v>231</v>
      </c>
      <c r="N205" s="59"/>
      <c r="U205" s="57"/>
      <c r="W205" s="55" t="s">
        <v>1</v>
      </c>
      <c r="Z205" s="55" t="s">
        <v>270</v>
      </c>
      <c r="AB205" s="65">
        <f aca="true" t="shared" si="164" ref="AB205:BP205">IF($BT$105=0,0,IF(AB$127=0,0,1))</f>
        <v>0</v>
      </c>
      <c r="AC205" s="65">
        <f t="shared" si="164"/>
        <v>0</v>
      </c>
      <c r="AD205" s="65">
        <f t="shared" si="164"/>
        <v>0</v>
      </c>
      <c r="AE205" s="65">
        <f t="shared" si="164"/>
        <v>0</v>
      </c>
      <c r="AF205" s="65">
        <f t="shared" si="164"/>
        <v>0</v>
      </c>
      <c r="AG205" s="65">
        <f t="shared" si="164"/>
        <v>0</v>
      </c>
      <c r="AH205" s="65">
        <f t="shared" si="164"/>
        <v>0</v>
      </c>
      <c r="AI205" s="65">
        <f t="shared" si="164"/>
        <v>0</v>
      </c>
      <c r="AJ205" s="65">
        <f t="shared" si="164"/>
        <v>0</v>
      </c>
      <c r="AK205" s="65">
        <f t="shared" si="164"/>
        <v>0</v>
      </c>
      <c r="AL205" s="65">
        <f t="shared" si="164"/>
        <v>0</v>
      </c>
      <c r="AM205" s="65">
        <f t="shared" si="164"/>
        <v>0</v>
      </c>
      <c r="AN205" s="65">
        <f t="shared" si="164"/>
        <v>0</v>
      </c>
      <c r="AO205" s="65">
        <f t="shared" si="164"/>
        <v>0</v>
      </c>
      <c r="AP205" s="65">
        <f t="shared" si="164"/>
        <v>0</v>
      </c>
      <c r="AQ205" s="65">
        <f t="shared" si="164"/>
        <v>0</v>
      </c>
      <c r="AR205" s="65">
        <f t="shared" si="164"/>
        <v>0</v>
      </c>
      <c r="AS205" s="65">
        <f t="shared" si="164"/>
        <v>0</v>
      </c>
      <c r="AT205" s="65">
        <f t="shared" si="164"/>
        <v>0</v>
      </c>
      <c r="AU205" s="65">
        <f t="shared" si="164"/>
        <v>0</v>
      </c>
      <c r="AV205" s="65">
        <f t="shared" si="164"/>
        <v>0</v>
      </c>
      <c r="AW205" s="65">
        <f t="shared" si="164"/>
        <v>0</v>
      </c>
      <c r="AX205" s="65">
        <f t="shared" si="164"/>
        <v>0</v>
      </c>
      <c r="AY205" s="65">
        <f t="shared" si="164"/>
        <v>0</v>
      </c>
      <c r="AZ205" s="65">
        <f t="shared" si="164"/>
        <v>0</v>
      </c>
      <c r="BA205" s="65">
        <f t="shared" si="164"/>
        <v>0</v>
      </c>
      <c r="BB205" s="65">
        <f t="shared" si="164"/>
        <v>0</v>
      </c>
      <c r="BC205" s="65">
        <f t="shared" si="164"/>
        <v>0</v>
      </c>
      <c r="BD205" s="65">
        <f t="shared" si="164"/>
        <v>0</v>
      </c>
      <c r="BE205" s="65">
        <f t="shared" si="164"/>
        <v>0</v>
      </c>
      <c r="BF205" s="65">
        <f t="shared" si="164"/>
        <v>0</v>
      </c>
      <c r="BG205" s="65">
        <f t="shared" si="164"/>
        <v>0</v>
      </c>
      <c r="BH205" s="65">
        <f t="shared" si="164"/>
        <v>0</v>
      </c>
      <c r="BI205" s="65">
        <f t="shared" si="164"/>
        <v>0</v>
      </c>
      <c r="BJ205" s="65">
        <f t="shared" si="164"/>
        <v>0</v>
      </c>
      <c r="BK205" s="65">
        <f t="shared" si="164"/>
        <v>0</v>
      </c>
      <c r="BL205" s="65">
        <f t="shared" si="164"/>
        <v>0</v>
      </c>
      <c r="BM205" s="65">
        <f t="shared" si="164"/>
        <v>0</v>
      </c>
      <c r="BN205" s="65">
        <f t="shared" si="164"/>
        <v>0</v>
      </c>
      <c r="BO205" s="65">
        <f t="shared" si="164"/>
        <v>0</v>
      </c>
      <c r="BP205" s="65">
        <f t="shared" si="164"/>
        <v>0</v>
      </c>
      <c r="BU205" s="7"/>
      <c r="BV205" s="1"/>
      <c r="BW205" s="1"/>
      <c r="BX205" s="1"/>
      <c r="CD205" s="1"/>
      <c r="CE205" s="1"/>
      <c r="CF205" s="1"/>
      <c r="CG205" s="1"/>
      <c r="CH205" s="1"/>
      <c r="CI205" s="55" t="s">
        <v>1</v>
      </c>
      <c r="DJ205" s="369" t="s">
        <v>1081</v>
      </c>
      <c r="DK205" s="461" t="s">
        <v>1082</v>
      </c>
      <c r="DL205" s="369" t="s">
        <v>1067</v>
      </c>
      <c r="DM205" s="369" t="s">
        <v>1076</v>
      </c>
      <c r="DN205" s="369" t="s">
        <v>1077</v>
      </c>
      <c r="DO205" s="462" t="s">
        <v>1078</v>
      </c>
      <c r="DQ205" s="58" t="s">
        <v>231</v>
      </c>
    </row>
    <row r="206" spans="13:121" ht="19.5" customHeight="1">
      <c r="M206" s="58" t="s">
        <v>231</v>
      </c>
      <c r="W206" s="55" t="s">
        <v>1</v>
      </c>
      <c r="AB206" s="65">
        <f aca="true" t="shared" si="165" ref="AB206:BP206">IF($BT$106=0,0,IF(AB$127=0,0,1))</f>
        <v>0</v>
      </c>
      <c r="AC206" s="65">
        <f t="shared" si="165"/>
        <v>0</v>
      </c>
      <c r="AD206" s="65">
        <f t="shared" si="165"/>
        <v>0</v>
      </c>
      <c r="AE206" s="65">
        <f t="shared" si="165"/>
        <v>0</v>
      </c>
      <c r="AF206" s="65">
        <f t="shared" si="165"/>
        <v>0</v>
      </c>
      <c r="AG206" s="65">
        <f t="shared" si="165"/>
        <v>0</v>
      </c>
      <c r="AH206" s="65">
        <f t="shared" si="165"/>
        <v>0</v>
      </c>
      <c r="AI206" s="65">
        <f t="shared" si="165"/>
        <v>0</v>
      </c>
      <c r="AJ206" s="65">
        <f t="shared" si="165"/>
        <v>0</v>
      </c>
      <c r="AK206" s="65">
        <f t="shared" si="165"/>
        <v>0</v>
      </c>
      <c r="AL206" s="65">
        <f t="shared" si="165"/>
        <v>0</v>
      </c>
      <c r="AM206" s="65">
        <f t="shared" si="165"/>
        <v>0</v>
      </c>
      <c r="AN206" s="65">
        <f t="shared" si="165"/>
        <v>0</v>
      </c>
      <c r="AO206" s="65">
        <f t="shared" si="165"/>
        <v>0</v>
      </c>
      <c r="AP206" s="65">
        <f t="shared" si="165"/>
        <v>0</v>
      </c>
      <c r="AQ206" s="65">
        <f t="shared" si="165"/>
        <v>0</v>
      </c>
      <c r="AR206" s="65">
        <f t="shared" si="165"/>
        <v>0</v>
      </c>
      <c r="AS206" s="65">
        <f t="shared" si="165"/>
        <v>0</v>
      </c>
      <c r="AT206" s="65">
        <f t="shared" si="165"/>
        <v>0</v>
      </c>
      <c r="AU206" s="65">
        <f t="shared" si="165"/>
        <v>0</v>
      </c>
      <c r="AV206" s="65">
        <f t="shared" si="165"/>
        <v>0</v>
      </c>
      <c r="AW206" s="65">
        <f t="shared" si="165"/>
        <v>0</v>
      </c>
      <c r="AX206" s="65">
        <f t="shared" si="165"/>
        <v>0</v>
      </c>
      <c r="AY206" s="65">
        <f t="shared" si="165"/>
        <v>0</v>
      </c>
      <c r="AZ206" s="65">
        <f t="shared" si="165"/>
        <v>0</v>
      </c>
      <c r="BA206" s="65">
        <f t="shared" si="165"/>
        <v>0</v>
      </c>
      <c r="BB206" s="65">
        <f t="shared" si="165"/>
        <v>0</v>
      </c>
      <c r="BC206" s="65">
        <f t="shared" si="165"/>
        <v>0</v>
      </c>
      <c r="BD206" s="65">
        <f t="shared" si="165"/>
        <v>0</v>
      </c>
      <c r="BE206" s="65">
        <f t="shared" si="165"/>
        <v>0</v>
      </c>
      <c r="BF206" s="65">
        <f t="shared" si="165"/>
        <v>0</v>
      </c>
      <c r="BG206" s="65">
        <f t="shared" si="165"/>
        <v>0</v>
      </c>
      <c r="BH206" s="65">
        <f t="shared" si="165"/>
        <v>0</v>
      </c>
      <c r="BI206" s="65">
        <f t="shared" si="165"/>
        <v>0</v>
      </c>
      <c r="BJ206" s="65">
        <f t="shared" si="165"/>
        <v>0</v>
      </c>
      <c r="BK206" s="65">
        <f t="shared" si="165"/>
        <v>0</v>
      </c>
      <c r="BL206" s="65">
        <f t="shared" si="165"/>
        <v>0</v>
      </c>
      <c r="BM206" s="65">
        <f t="shared" si="165"/>
        <v>0</v>
      </c>
      <c r="BN206" s="65">
        <f t="shared" si="165"/>
        <v>0</v>
      </c>
      <c r="BO206" s="65">
        <f t="shared" si="165"/>
        <v>0</v>
      </c>
      <c r="BP206" s="65">
        <f t="shared" si="165"/>
        <v>0</v>
      </c>
      <c r="BQ206" s="7"/>
      <c r="BU206" s="7"/>
      <c r="BW206" s="1"/>
      <c r="BX206" s="1"/>
      <c r="CD206" s="1"/>
      <c r="CE206" s="1"/>
      <c r="CF206" s="1"/>
      <c r="CG206" s="1"/>
      <c r="CH206" s="1"/>
      <c r="CI206" s="55" t="s">
        <v>1</v>
      </c>
      <c r="DJ206" s="369" t="s">
        <v>1083</v>
      </c>
      <c r="DK206" s="461" t="s">
        <v>1084</v>
      </c>
      <c r="DL206" s="369" t="s">
        <v>1067</v>
      </c>
      <c r="DM206" s="369" t="s">
        <v>1076</v>
      </c>
      <c r="DN206" s="369" t="s">
        <v>1077</v>
      </c>
      <c r="DO206" s="462" t="s">
        <v>1078</v>
      </c>
      <c r="DQ206" s="58" t="s">
        <v>231</v>
      </c>
    </row>
    <row r="207" spans="13:121" ht="19.5" customHeight="1">
      <c r="M207" s="58" t="s">
        <v>231</v>
      </c>
      <c r="W207" s="55" t="s">
        <v>1</v>
      </c>
      <c r="Z207" s="55" t="s">
        <v>271</v>
      </c>
      <c r="AB207" s="65">
        <f aca="true" t="shared" si="166" ref="AB207:BP207">IF($BT$107=0,0,IF(AB$127=0,0,1))</f>
        <v>0</v>
      </c>
      <c r="AC207" s="65">
        <f t="shared" si="166"/>
        <v>0</v>
      </c>
      <c r="AD207" s="65">
        <f t="shared" si="166"/>
        <v>0</v>
      </c>
      <c r="AE207" s="65">
        <f t="shared" si="166"/>
        <v>0</v>
      </c>
      <c r="AF207" s="65">
        <f t="shared" si="166"/>
        <v>0</v>
      </c>
      <c r="AG207" s="65">
        <f t="shared" si="166"/>
        <v>0</v>
      </c>
      <c r="AH207" s="65">
        <f t="shared" si="166"/>
        <v>0</v>
      </c>
      <c r="AI207" s="65">
        <f t="shared" si="166"/>
        <v>0</v>
      </c>
      <c r="AJ207" s="65">
        <f t="shared" si="166"/>
        <v>0</v>
      </c>
      <c r="AK207" s="65">
        <f t="shared" si="166"/>
        <v>0</v>
      </c>
      <c r="AL207" s="65">
        <f t="shared" si="166"/>
        <v>0</v>
      </c>
      <c r="AM207" s="65">
        <f t="shared" si="166"/>
        <v>0</v>
      </c>
      <c r="AN207" s="65">
        <f t="shared" si="166"/>
        <v>0</v>
      </c>
      <c r="AO207" s="65">
        <f t="shared" si="166"/>
        <v>0</v>
      </c>
      <c r="AP207" s="65">
        <f t="shared" si="166"/>
        <v>0</v>
      </c>
      <c r="AQ207" s="65">
        <f t="shared" si="166"/>
        <v>0</v>
      </c>
      <c r="AR207" s="65">
        <f t="shared" si="166"/>
        <v>0</v>
      </c>
      <c r="AS207" s="65">
        <f t="shared" si="166"/>
        <v>0</v>
      </c>
      <c r="AT207" s="65">
        <f t="shared" si="166"/>
        <v>0</v>
      </c>
      <c r="AU207" s="65">
        <f t="shared" si="166"/>
        <v>0</v>
      </c>
      <c r="AV207" s="65">
        <f t="shared" si="166"/>
        <v>0</v>
      </c>
      <c r="AW207" s="65">
        <f t="shared" si="166"/>
        <v>0</v>
      </c>
      <c r="AX207" s="65">
        <f t="shared" si="166"/>
        <v>0</v>
      </c>
      <c r="AY207" s="65">
        <f t="shared" si="166"/>
        <v>0</v>
      </c>
      <c r="AZ207" s="65">
        <f t="shared" si="166"/>
        <v>0</v>
      </c>
      <c r="BA207" s="65">
        <f t="shared" si="166"/>
        <v>0</v>
      </c>
      <c r="BB207" s="65">
        <f t="shared" si="166"/>
        <v>0</v>
      </c>
      <c r="BC207" s="65">
        <f t="shared" si="166"/>
        <v>0</v>
      </c>
      <c r="BD207" s="65">
        <f t="shared" si="166"/>
        <v>0</v>
      </c>
      <c r="BE207" s="65">
        <f t="shared" si="166"/>
        <v>0</v>
      </c>
      <c r="BF207" s="65">
        <f t="shared" si="166"/>
        <v>0</v>
      </c>
      <c r="BG207" s="65">
        <f t="shared" si="166"/>
        <v>0</v>
      </c>
      <c r="BH207" s="65">
        <f t="shared" si="166"/>
        <v>0</v>
      </c>
      <c r="BI207" s="65">
        <f t="shared" si="166"/>
        <v>0</v>
      </c>
      <c r="BJ207" s="65">
        <f t="shared" si="166"/>
        <v>0</v>
      </c>
      <c r="BK207" s="65">
        <f t="shared" si="166"/>
        <v>0</v>
      </c>
      <c r="BL207" s="65">
        <f t="shared" si="166"/>
        <v>0</v>
      </c>
      <c r="BM207" s="65">
        <f t="shared" si="166"/>
        <v>0</v>
      </c>
      <c r="BN207" s="65">
        <f t="shared" si="166"/>
        <v>0</v>
      </c>
      <c r="BO207" s="65">
        <f t="shared" si="166"/>
        <v>0</v>
      </c>
      <c r="BP207" s="65">
        <f t="shared" si="166"/>
        <v>0</v>
      </c>
      <c r="BQ207" s="7"/>
      <c r="BU207" s="7"/>
      <c r="BW207" s="1"/>
      <c r="BX207" s="1"/>
      <c r="CD207" s="1"/>
      <c r="CE207" s="1"/>
      <c r="CF207" s="1"/>
      <c r="CG207" s="1"/>
      <c r="CH207" s="1"/>
      <c r="CI207" s="55" t="s">
        <v>1</v>
      </c>
      <c r="DJ207" s="369" t="s">
        <v>1085</v>
      </c>
      <c r="DK207" s="463" t="s">
        <v>1086</v>
      </c>
      <c r="DL207" s="369" t="s">
        <v>1067</v>
      </c>
      <c r="DM207" s="369" t="s">
        <v>1076</v>
      </c>
      <c r="DN207" s="369" t="s">
        <v>1077</v>
      </c>
      <c r="DO207" s="462" t="s">
        <v>1078</v>
      </c>
      <c r="DQ207" s="58" t="s">
        <v>231</v>
      </c>
    </row>
    <row r="208" spans="13:121" ht="19.5" customHeight="1">
      <c r="M208" s="58" t="s">
        <v>231</v>
      </c>
      <c r="W208" s="55" t="s">
        <v>1</v>
      </c>
      <c r="AB208" s="65">
        <f aca="true" t="shared" si="167" ref="AB208:BP208">IF($BT$108=0,0,IF(AB$127=0,0,1))</f>
        <v>0</v>
      </c>
      <c r="AC208" s="65">
        <f t="shared" si="167"/>
        <v>0</v>
      </c>
      <c r="AD208" s="65">
        <f t="shared" si="167"/>
        <v>0</v>
      </c>
      <c r="AE208" s="65">
        <f t="shared" si="167"/>
        <v>0</v>
      </c>
      <c r="AF208" s="65">
        <f t="shared" si="167"/>
        <v>0</v>
      </c>
      <c r="AG208" s="65">
        <f t="shared" si="167"/>
        <v>0</v>
      </c>
      <c r="AH208" s="65">
        <f t="shared" si="167"/>
        <v>0</v>
      </c>
      <c r="AI208" s="65">
        <f t="shared" si="167"/>
        <v>0</v>
      </c>
      <c r="AJ208" s="65">
        <f t="shared" si="167"/>
        <v>0</v>
      </c>
      <c r="AK208" s="65">
        <f t="shared" si="167"/>
        <v>0</v>
      </c>
      <c r="AL208" s="65">
        <f t="shared" si="167"/>
        <v>0</v>
      </c>
      <c r="AM208" s="65">
        <f t="shared" si="167"/>
        <v>0</v>
      </c>
      <c r="AN208" s="65">
        <f t="shared" si="167"/>
        <v>0</v>
      </c>
      <c r="AO208" s="65">
        <f t="shared" si="167"/>
        <v>0</v>
      </c>
      <c r="AP208" s="65">
        <f t="shared" si="167"/>
        <v>0</v>
      </c>
      <c r="AQ208" s="65">
        <f t="shared" si="167"/>
        <v>0</v>
      </c>
      <c r="AR208" s="65">
        <f t="shared" si="167"/>
        <v>0</v>
      </c>
      <c r="AS208" s="65">
        <f t="shared" si="167"/>
        <v>0</v>
      </c>
      <c r="AT208" s="65">
        <f t="shared" si="167"/>
        <v>0</v>
      </c>
      <c r="AU208" s="65">
        <f t="shared" si="167"/>
        <v>0</v>
      </c>
      <c r="AV208" s="65">
        <f t="shared" si="167"/>
        <v>0</v>
      </c>
      <c r="AW208" s="65">
        <f t="shared" si="167"/>
        <v>0</v>
      </c>
      <c r="AX208" s="65">
        <f t="shared" si="167"/>
        <v>0</v>
      </c>
      <c r="AY208" s="65">
        <f t="shared" si="167"/>
        <v>0</v>
      </c>
      <c r="AZ208" s="65">
        <f t="shared" si="167"/>
        <v>0</v>
      </c>
      <c r="BA208" s="65">
        <f t="shared" si="167"/>
        <v>0</v>
      </c>
      <c r="BB208" s="65">
        <f t="shared" si="167"/>
        <v>0</v>
      </c>
      <c r="BC208" s="65">
        <f t="shared" si="167"/>
        <v>0</v>
      </c>
      <c r="BD208" s="65">
        <f t="shared" si="167"/>
        <v>0</v>
      </c>
      <c r="BE208" s="65">
        <f t="shared" si="167"/>
        <v>0</v>
      </c>
      <c r="BF208" s="65">
        <f t="shared" si="167"/>
        <v>0</v>
      </c>
      <c r="BG208" s="65">
        <f t="shared" si="167"/>
        <v>0</v>
      </c>
      <c r="BH208" s="65">
        <f t="shared" si="167"/>
        <v>0</v>
      </c>
      <c r="BI208" s="65">
        <f t="shared" si="167"/>
        <v>0</v>
      </c>
      <c r="BJ208" s="65">
        <f t="shared" si="167"/>
        <v>0</v>
      </c>
      <c r="BK208" s="65">
        <f t="shared" si="167"/>
        <v>0</v>
      </c>
      <c r="BL208" s="65">
        <f t="shared" si="167"/>
        <v>0</v>
      </c>
      <c r="BM208" s="65">
        <f t="shared" si="167"/>
        <v>0</v>
      </c>
      <c r="BN208" s="65">
        <f t="shared" si="167"/>
        <v>0</v>
      </c>
      <c r="BO208" s="65">
        <f t="shared" si="167"/>
        <v>0</v>
      </c>
      <c r="BP208" s="65">
        <f t="shared" si="167"/>
        <v>0</v>
      </c>
      <c r="BQ208" s="7"/>
      <c r="BU208" s="7"/>
      <c r="BW208" s="1"/>
      <c r="BX208" s="1"/>
      <c r="CD208" s="1"/>
      <c r="CE208" s="1"/>
      <c r="CF208" s="1"/>
      <c r="CG208" s="1"/>
      <c r="CH208" s="1"/>
      <c r="CI208" s="55" t="s">
        <v>1</v>
      </c>
      <c r="DJ208" s="369" t="s">
        <v>1087</v>
      </c>
      <c r="DK208" s="463" t="s">
        <v>1088</v>
      </c>
      <c r="DL208" s="369" t="s">
        <v>1067</v>
      </c>
      <c r="DM208" s="369" t="s">
        <v>1089</v>
      </c>
      <c r="DN208" s="369" t="s">
        <v>1088</v>
      </c>
      <c r="DO208" s="462" t="s">
        <v>1090</v>
      </c>
      <c r="DQ208" s="58" t="s">
        <v>231</v>
      </c>
    </row>
    <row r="209" spans="13:121" ht="19.5" customHeight="1">
      <c r="M209" s="58" t="s">
        <v>231</v>
      </c>
      <c r="W209" s="55" t="s">
        <v>1</v>
      </c>
      <c r="Z209" s="65" t="s">
        <v>272</v>
      </c>
      <c r="AA209" s="65"/>
      <c r="AB209" s="65">
        <f aca="true" t="shared" si="168" ref="AB209:BP209">IF($BT$109=0,0,IF(AB$127=0,0,1))</f>
        <v>0</v>
      </c>
      <c r="AC209" s="65">
        <f t="shared" si="168"/>
        <v>0</v>
      </c>
      <c r="AD209" s="65">
        <f t="shared" si="168"/>
        <v>0</v>
      </c>
      <c r="AE209" s="65">
        <f t="shared" si="168"/>
        <v>0</v>
      </c>
      <c r="AF209" s="65">
        <f t="shared" si="168"/>
        <v>0</v>
      </c>
      <c r="AG209" s="65">
        <f t="shared" si="168"/>
        <v>0</v>
      </c>
      <c r="AH209" s="65">
        <f t="shared" si="168"/>
        <v>0</v>
      </c>
      <c r="AI209" s="65">
        <f t="shared" si="168"/>
        <v>0</v>
      </c>
      <c r="AJ209" s="65">
        <f t="shared" si="168"/>
        <v>0</v>
      </c>
      <c r="AK209" s="65">
        <f t="shared" si="168"/>
        <v>0</v>
      </c>
      <c r="AL209" s="65">
        <f t="shared" si="168"/>
        <v>0</v>
      </c>
      <c r="AM209" s="65">
        <f t="shared" si="168"/>
        <v>0</v>
      </c>
      <c r="AN209" s="65">
        <f t="shared" si="168"/>
        <v>0</v>
      </c>
      <c r="AO209" s="65">
        <f t="shared" si="168"/>
        <v>0</v>
      </c>
      <c r="AP209" s="65">
        <f t="shared" si="168"/>
        <v>0</v>
      </c>
      <c r="AQ209" s="65">
        <f t="shared" si="168"/>
        <v>0</v>
      </c>
      <c r="AR209" s="65">
        <f t="shared" si="168"/>
        <v>0</v>
      </c>
      <c r="AS209" s="65">
        <f t="shared" si="168"/>
        <v>0</v>
      </c>
      <c r="AT209" s="65">
        <f t="shared" si="168"/>
        <v>0</v>
      </c>
      <c r="AU209" s="65">
        <f t="shared" si="168"/>
        <v>0</v>
      </c>
      <c r="AV209" s="65">
        <f t="shared" si="168"/>
        <v>0</v>
      </c>
      <c r="AW209" s="65">
        <f t="shared" si="168"/>
        <v>0</v>
      </c>
      <c r="AX209" s="65">
        <f t="shared" si="168"/>
        <v>0</v>
      </c>
      <c r="AY209" s="65">
        <f t="shared" si="168"/>
        <v>0</v>
      </c>
      <c r="AZ209" s="65">
        <f t="shared" si="168"/>
        <v>0</v>
      </c>
      <c r="BA209" s="65">
        <f t="shared" si="168"/>
        <v>0</v>
      </c>
      <c r="BB209" s="65">
        <f t="shared" si="168"/>
        <v>0</v>
      </c>
      <c r="BC209" s="65">
        <f t="shared" si="168"/>
        <v>0</v>
      </c>
      <c r="BD209" s="65">
        <f t="shared" si="168"/>
        <v>0</v>
      </c>
      <c r="BE209" s="65">
        <f t="shared" si="168"/>
        <v>0</v>
      </c>
      <c r="BF209" s="65">
        <f t="shared" si="168"/>
        <v>0</v>
      </c>
      <c r="BG209" s="65">
        <f t="shared" si="168"/>
        <v>0</v>
      </c>
      <c r="BH209" s="65">
        <f t="shared" si="168"/>
        <v>0</v>
      </c>
      <c r="BI209" s="65">
        <f t="shared" si="168"/>
        <v>0</v>
      </c>
      <c r="BJ209" s="65">
        <f t="shared" si="168"/>
        <v>0</v>
      </c>
      <c r="BK209" s="65">
        <f t="shared" si="168"/>
        <v>0</v>
      </c>
      <c r="BL209" s="65">
        <f t="shared" si="168"/>
        <v>0</v>
      </c>
      <c r="BM209" s="65">
        <f t="shared" si="168"/>
        <v>0</v>
      </c>
      <c r="BN209" s="65">
        <f t="shared" si="168"/>
        <v>0</v>
      </c>
      <c r="BO209" s="65">
        <f t="shared" si="168"/>
        <v>0</v>
      </c>
      <c r="BP209" s="65">
        <f t="shared" si="168"/>
        <v>0</v>
      </c>
      <c r="BQ209" s="7"/>
      <c r="BU209" s="7"/>
      <c r="BV209" s="1"/>
      <c r="BW209" s="1"/>
      <c r="BX209" s="1"/>
      <c r="CD209" s="1"/>
      <c r="CE209" s="1"/>
      <c r="CF209" s="1"/>
      <c r="CG209" s="1"/>
      <c r="CH209" s="1"/>
      <c r="CI209" s="55" t="s">
        <v>1</v>
      </c>
      <c r="DJ209" s="369" t="s">
        <v>1091</v>
      </c>
      <c r="DK209" s="463" t="s">
        <v>1092</v>
      </c>
      <c r="DL209" s="369" t="s">
        <v>1067</v>
      </c>
      <c r="DM209" s="369" t="s">
        <v>1089</v>
      </c>
      <c r="DN209" s="369" t="s">
        <v>1088</v>
      </c>
      <c r="DO209" s="462" t="s">
        <v>1090</v>
      </c>
      <c r="DQ209" s="58" t="s">
        <v>231</v>
      </c>
    </row>
    <row r="210" spans="13:121" ht="19.5" customHeight="1">
      <c r="M210" s="58" t="s">
        <v>231</v>
      </c>
      <c r="N210" s="59"/>
      <c r="U210" s="59"/>
      <c r="W210" s="55" t="s">
        <v>1</v>
      </c>
      <c r="AB210" s="65">
        <f aca="true" t="shared" si="169" ref="AB210:BP210">IF($BT$110=0,0,IF(AB$127=0,0,1))</f>
        <v>0</v>
      </c>
      <c r="AC210" s="65">
        <f t="shared" si="169"/>
        <v>0</v>
      </c>
      <c r="AD210" s="65">
        <f t="shared" si="169"/>
        <v>0</v>
      </c>
      <c r="AE210" s="65">
        <f t="shared" si="169"/>
        <v>0</v>
      </c>
      <c r="AF210" s="65">
        <f t="shared" si="169"/>
        <v>0</v>
      </c>
      <c r="AG210" s="65">
        <f t="shared" si="169"/>
        <v>0</v>
      </c>
      <c r="AH210" s="65">
        <f t="shared" si="169"/>
        <v>0</v>
      </c>
      <c r="AI210" s="65">
        <f t="shared" si="169"/>
        <v>0</v>
      </c>
      <c r="AJ210" s="65">
        <f t="shared" si="169"/>
        <v>0</v>
      </c>
      <c r="AK210" s="65">
        <f t="shared" si="169"/>
        <v>0</v>
      </c>
      <c r="AL210" s="65">
        <f t="shared" si="169"/>
        <v>0</v>
      </c>
      <c r="AM210" s="65">
        <f t="shared" si="169"/>
        <v>0</v>
      </c>
      <c r="AN210" s="65">
        <f t="shared" si="169"/>
        <v>0</v>
      </c>
      <c r="AO210" s="65">
        <f t="shared" si="169"/>
        <v>0</v>
      </c>
      <c r="AP210" s="65">
        <f t="shared" si="169"/>
        <v>0</v>
      </c>
      <c r="AQ210" s="65">
        <f t="shared" si="169"/>
        <v>0</v>
      </c>
      <c r="AR210" s="65">
        <f t="shared" si="169"/>
        <v>0</v>
      </c>
      <c r="AS210" s="65">
        <f t="shared" si="169"/>
        <v>0</v>
      </c>
      <c r="AT210" s="65">
        <f t="shared" si="169"/>
        <v>0</v>
      </c>
      <c r="AU210" s="65">
        <f t="shared" si="169"/>
        <v>0</v>
      </c>
      <c r="AV210" s="65">
        <f t="shared" si="169"/>
        <v>0</v>
      </c>
      <c r="AW210" s="65">
        <f t="shared" si="169"/>
        <v>0</v>
      </c>
      <c r="AX210" s="65">
        <f t="shared" si="169"/>
        <v>0</v>
      </c>
      <c r="AY210" s="65">
        <f t="shared" si="169"/>
        <v>0</v>
      </c>
      <c r="AZ210" s="65">
        <f t="shared" si="169"/>
        <v>0</v>
      </c>
      <c r="BA210" s="65">
        <f t="shared" si="169"/>
        <v>0</v>
      </c>
      <c r="BB210" s="65">
        <f t="shared" si="169"/>
        <v>0</v>
      </c>
      <c r="BC210" s="65">
        <f t="shared" si="169"/>
        <v>0</v>
      </c>
      <c r="BD210" s="65">
        <f t="shared" si="169"/>
        <v>0</v>
      </c>
      <c r="BE210" s="65">
        <f t="shared" si="169"/>
        <v>0</v>
      </c>
      <c r="BF210" s="65">
        <f t="shared" si="169"/>
        <v>0</v>
      </c>
      <c r="BG210" s="65">
        <f t="shared" si="169"/>
        <v>0</v>
      </c>
      <c r="BH210" s="65">
        <f t="shared" si="169"/>
        <v>0</v>
      </c>
      <c r="BI210" s="65">
        <f t="shared" si="169"/>
        <v>0</v>
      </c>
      <c r="BJ210" s="65">
        <f t="shared" si="169"/>
        <v>0</v>
      </c>
      <c r="BK210" s="65">
        <f t="shared" si="169"/>
        <v>0</v>
      </c>
      <c r="BL210" s="65">
        <f t="shared" si="169"/>
        <v>0</v>
      </c>
      <c r="BM210" s="65">
        <f t="shared" si="169"/>
        <v>0</v>
      </c>
      <c r="BN210" s="65">
        <f t="shared" si="169"/>
        <v>0</v>
      </c>
      <c r="BO210" s="65">
        <f t="shared" si="169"/>
        <v>0</v>
      </c>
      <c r="BP210" s="65">
        <f t="shared" si="169"/>
        <v>0</v>
      </c>
      <c r="BQ210" s="7"/>
      <c r="BU210" s="7"/>
      <c r="BV210" s="1"/>
      <c r="BW210" s="1"/>
      <c r="BX210" s="1"/>
      <c r="CD210" s="1"/>
      <c r="CE210" s="1"/>
      <c r="CF210" s="1"/>
      <c r="CG210" s="1"/>
      <c r="CH210" s="1"/>
      <c r="CI210" s="55" t="s">
        <v>1</v>
      </c>
      <c r="DJ210" s="369" t="s">
        <v>1093</v>
      </c>
      <c r="DK210" s="461" t="s">
        <v>1094</v>
      </c>
      <c r="DL210" s="369" t="s">
        <v>1067</v>
      </c>
      <c r="DM210" s="369" t="s">
        <v>1076</v>
      </c>
      <c r="DN210" s="369" t="s">
        <v>1077</v>
      </c>
      <c r="DO210" s="462" t="s">
        <v>1078</v>
      </c>
      <c r="DQ210" s="58" t="s">
        <v>231</v>
      </c>
    </row>
    <row r="211" spans="13:121" ht="19.5" customHeight="1">
      <c r="M211" s="58" t="s">
        <v>231</v>
      </c>
      <c r="W211" s="55" t="s">
        <v>1</v>
      </c>
      <c r="Z211" s="55" t="s">
        <v>273</v>
      </c>
      <c r="AB211" s="65">
        <f aca="true" t="shared" si="170" ref="AB211:BP211">IF($BT$111=0,0,IF(AB$127=0,0,1))</f>
        <v>0</v>
      </c>
      <c r="AC211" s="65">
        <f t="shared" si="170"/>
        <v>0</v>
      </c>
      <c r="AD211" s="65">
        <f t="shared" si="170"/>
        <v>0</v>
      </c>
      <c r="AE211" s="65">
        <f t="shared" si="170"/>
        <v>0</v>
      </c>
      <c r="AF211" s="65">
        <f t="shared" si="170"/>
        <v>0</v>
      </c>
      <c r="AG211" s="65">
        <f t="shared" si="170"/>
        <v>0</v>
      </c>
      <c r="AH211" s="65">
        <f t="shared" si="170"/>
        <v>0</v>
      </c>
      <c r="AI211" s="65">
        <f t="shared" si="170"/>
        <v>0</v>
      </c>
      <c r="AJ211" s="65">
        <f t="shared" si="170"/>
        <v>0</v>
      </c>
      <c r="AK211" s="65">
        <f t="shared" si="170"/>
        <v>0</v>
      </c>
      <c r="AL211" s="65">
        <f t="shared" si="170"/>
        <v>0</v>
      </c>
      <c r="AM211" s="65">
        <f t="shared" si="170"/>
        <v>0</v>
      </c>
      <c r="AN211" s="65">
        <f t="shared" si="170"/>
        <v>0</v>
      </c>
      <c r="AO211" s="65">
        <f t="shared" si="170"/>
        <v>0</v>
      </c>
      <c r="AP211" s="65">
        <f t="shared" si="170"/>
        <v>0</v>
      </c>
      <c r="AQ211" s="65">
        <f t="shared" si="170"/>
        <v>0</v>
      </c>
      <c r="AR211" s="65">
        <f t="shared" si="170"/>
        <v>0</v>
      </c>
      <c r="AS211" s="65">
        <f t="shared" si="170"/>
        <v>0</v>
      </c>
      <c r="AT211" s="65">
        <f t="shared" si="170"/>
        <v>0</v>
      </c>
      <c r="AU211" s="65">
        <f t="shared" si="170"/>
        <v>0</v>
      </c>
      <c r="AV211" s="65">
        <f t="shared" si="170"/>
        <v>0</v>
      </c>
      <c r="AW211" s="65">
        <f t="shared" si="170"/>
        <v>0</v>
      </c>
      <c r="AX211" s="65">
        <f t="shared" si="170"/>
        <v>0</v>
      </c>
      <c r="AY211" s="65">
        <f t="shared" si="170"/>
        <v>0</v>
      </c>
      <c r="AZ211" s="65">
        <f t="shared" si="170"/>
        <v>0</v>
      </c>
      <c r="BA211" s="65">
        <f t="shared" si="170"/>
        <v>0</v>
      </c>
      <c r="BB211" s="65">
        <f t="shared" si="170"/>
        <v>0</v>
      </c>
      <c r="BC211" s="65">
        <f t="shared" si="170"/>
        <v>0</v>
      </c>
      <c r="BD211" s="65">
        <f t="shared" si="170"/>
        <v>0</v>
      </c>
      <c r="BE211" s="65">
        <f t="shared" si="170"/>
        <v>0</v>
      </c>
      <c r="BF211" s="65">
        <f t="shared" si="170"/>
        <v>0</v>
      </c>
      <c r="BG211" s="65">
        <f t="shared" si="170"/>
        <v>0</v>
      </c>
      <c r="BH211" s="65">
        <f t="shared" si="170"/>
        <v>0</v>
      </c>
      <c r="BI211" s="65">
        <f t="shared" si="170"/>
        <v>0</v>
      </c>
      <c r="BJ211" s="65">
        <f t="shared" si="170"/>
        <v>0</v>
      </c>
      <c r="BK211" s="65">
        <f t="shared" si="170"/>
        <v>0</v>
      </c>
      <c r="BL211" s="65">
        <f t="shared" si="170"/>
        <v>0</v>
      </c>
      <c r="BM211" s="65">
        <f t="shared" si="170"/>
        <v>0</v>
      </c>
      <c r="BN211" s="65">
        <f t="shared" si="170"/>
        <v>0</v>
      </c>
      <c r="BO211" s="65">
        <f t="shared" si="170"/>
        <v>0</v>
      </c>
      <c r="BP211" s="65">
        <f t="shared" si="170"/>
        <v>0</v>
      </c>
      <c r="BQ211" s="7"/>
      <c r="BU211" s="7"/>
      <c r="BW211" s="1"/>
      <c r="BX211" s="1"/>
      <c r="CD211" s="1"/>
      <c r="CE211" s="1"/>
      <c r="CF211" s="1"/>
      <c r="CG211" s="1"/>
      <c r="CH211" s="1"/>
      <c r="CI211" s="55" t="s">
        <v>1</v>
      </c>
      <c r="DJ211" s="369" t="s">
        <v>1095</v>
      </c>
      <c r="DK211" s="461" t="s">
        <v>1096</v>
      </c>
      <c r="DL211" s="369" t="s">
        <v>1067</v>
      </c>
      <c r="DM211" s="369" t="s">
        <v>1076</v>
      </c>
      <c r="DN211" s="369" t="s">
        <v>1077</v>
      </c>
      <c r="DO211" s="462" t="s">
        <v>1078</v>
      </c>
      <c r="DQ211" s="58" t="s">
        <v>231</v>
      </c>
    </row>
    <row r="212" spans="13:121" ht="19.5" customHeight="1">
      <c r="M212" s="58" t="s">
        <v>231</v>
      </c>
      <c r="W212" s="55" t="s">
        <v>1</v>
      </c>
      <c r="AB212" s="65">
        <f aca="true" t="shared" si="171" ref="AB212:BP212">IF($BT$112=0,0,IF(AB$127=0,0,1))</f>
        <v>0</v>
      </c>
      <c r="AC212" s="65">
        <f t="shared" si="171"/>
        <v>0</v>
      </c>
      <c r="AD212" s="65">
        <f t="shared" si="171"/>
        <v>0</v>
      </c>
      <c r="AE212" s="65">
        <f t="shared" si="171"/>
        <v>0</v>
      </c>
      <c r="AF212" s="65">
        <f t="shared" si="171"/>
        <v>0</v>
      </c>
      <c r="AG212" s="65">
        <f t="shared" si="171"/>
        <v>0</v>
      </c>
      <c r="AH212" s="65">
        <f t="shared" si="171"/>
        <v>0</v>
      </c>
      <c r="AI212" s="65">
        <f t="shared" si="171"/>
        <v>0</v>
      </c>
      <c r="AJ212" s="65">
        <f t="shared" si="171"/>
        <v>0</v>
      </c>
      <c r="AK212" s="65">
        <f t="shared" si="171"/>
        <v>0</v>
      </c>
      <c r="AL212" s="65">
        <f t="shared" si="171"/>
        <v>0</v>
      </c>
      <c r="AM212" s="65">
        <f t="shared" si="171"/>
        <v>0</v>
      </c>
      <c r="AN212" s="65">
        <f t="shared" si="171"/>
        <v>0</v>
      </c>
      <c r="AO212" s="65">
        <f t="shared" si="171"/>
        <v>0</v>
      </c>
      <c r="AP212" s="65">
        <f t="shared" si="171"/>
        <v>0</v>
      </c>
      <c r="AQ212" s="65">
        <f t="shared" si="171"/>
        <v>0</v>
      </c>
      <c r="AR212" s="65">
        <f t="shared" si="171"/>
        <v>0</v>
      </c>
      <c r="AS212" s="65">
        <f t="shared" si="171"/>
        <v>0</v>
      </c>
      <c r="AT212" s="65">
        <f t="shared" si="171"/>
        <v>0</v>
      </c>
      <c r="AU212" s="65">
        <f t="shared" si="171"/>
        <v>0</v>
      </c>
      <c r="AV212" s="65">
        <f t="shared" si="171"/>
        <v>0</v>
      </c>
      <c r="AW212" s="65">
        <f t="shared" si="171"/>
        <v>0</v>
      </c>
      <c r="AX212" s="65">
        <f t="shared" si="171"/>
        <v>0</v>
      </c>
      <c r="AY212" s="65">
        <f t="shared" si="171"/>
        <v>0</v>
      </c>
      <c r="AZ212" s="65">
        <f t="shared" si="171"/>
        <v>0</v>
      </c>
      <c r="BA212" s="65">
        <f t="shared" si="171"/>
        <v>0</v>
      </c>
      <c r="BB212" s="65">
        <f t="shared" si="171"/>
        <v>0</v>
      </c>
      <c r="BC212" s="65">
        <f t="shared" si="171"/>
        <v>0</v>
      </c>
      <c r="BD212" s="65">
        <f t="shared" si="171"/>
        <v>0</v>
      </c>
      <c r="BE212" s="65">
        <f t="shared" si="171"/>
        <v>0</v>
      </c>
      <c r="BF212" s="65">
        <f t="shared" si="171"/>
        <v>0</v>
      </c>
      <c r="BG212" s="65">
        <f t="shared" si="171"/>
        <v>0</v>
      </c>
      <c r="BH212" s="65">
        <f t="shared" si="171"/>
        <v>0</v>
      </c>
      <c r="BI212" s="65">
        <f t="shared" si="171"/>
        <v>0</v>
      </c>
      <c r="BJ212" s="65">
        <f t="shared" si="171"/>
        <v>0</v>
      </c>
      <c r="BK212" s="65">
        <f t="shared" si="171"/>
        <v>0</v>
      </c>
      <c r="BL212" s="65">
        <f t="shared" si="171"/>
        <v>0</v>
      </c>
      <c r="BM212" s="65">
        <f t="shared" si="171"/>
        <v>0</v>
      </c>
      <c r="BN212" s="65">
        <f t="shared" si="171"/>
        <v>0</v>
      </c>
      <c r="BO212" s="65">
        <f t="shared" si="171"/>
        <v>0</v>
      </c>
      <c r="BP212" s="65">
        <f t="shared" si="171"/>
        <v>0</v>
      </c>
      <c r="BQ212" s="7"/>
      <c r="BU212" s="7"/>
      <c r="BW212" s="1"/>
      <c r="BX212" s="1"/>
      <c r="CD212" s="1"/>
      <c r="CE212" s="1"/>
      <c r="CF212" s="1"/>
      <c r="CG212" s="1"/>
      <c r="CH212" s="1"/>
      <c r="CI212" s="55" t="s">
        <v>1</v>
      </c>
      <c r="DJ212" s="369" t="s">
        <v>1097</v>
      </c>
      <c r="DK212" s="461" t="s">
        <v>1098</v>
      </c>
      <c r="DL212" s="369" t="s">
        <v>1067</v>
      </c>
      <c r="DM212" s="369" t="s">
        <v>1076</v>
      </c>
      <c r="DN212" s="369" t="s">
        <v>1077</v>
      </c>
      <c r="DO212" s="462" t="s">
        <v>1078</v>
      </c>
      <c r="DQ212" s="58" t="s">
        <v>231</v>
      </c>
    </row>
    <row r="213" spans="13:121" ht="19.5" customHeight="1">
      <c r="M213" s="58" t="s">
        <v>231</v>
      </c>
      <c r="W213" s="55" t="s">
        <v>1</v>
      </c>
      <c r="Z213" s="55" t="s">
        <v>274</v>
      </c>
      <c r="AB213" s="65">
        <f aca="true" t="shared" si="172" ref="AB213:BP213">IF($BT$113=0,0,IF(AB$127=0,0,1))</f>
        <v>0</v>
      </c>
      <c r="AC213" s="65">
        <f t="shared" si="172"/>
        <v>0</v>
      </c>
      <c r="AD213" s="65">
        <f t="shared" si="172"/>
        <v>0</v>
      </c>
      <c r="AE213" s="65">
        <f t="shared" si="172"/>
        <v>0</v>
      </c>
      <c r="AF213" s="65">
        <f t="shared" si="172"/>
        <v>0</v>
      </c>
      <c r="AG213" s="65">
        <f t="shared" si="172"/>
        <v>0</v>
      </c>
      <c r="AH213" s="65">
        <f t="shared" si="172"/>
        <v>0</v>
      </c>
      <c r="AI213" s="65">
        <f t="shared" si="172"/>
        <v>0</v>
      </c>
      <c r="AJ213" s="65">
        <f t="shared" si="172"/>
        <v>0</v>
      </c>
      <c r="AK213" s="65">
        <f t="shared" si="172"/>
        <v>0</v>
      </c>
      <c r="AL213" s="65">
        <f t="shared" si="172"/>
        <v>0</v>
      </c>
      <c r="AM213" s="65">
        <f t="shared" si="172"/>
        <v>0</v>
      </c>
      <c r="AN213" s="65">
        <f t="shared" si="172"/>
        <v>0</v>
      </c>
      <c r="AO213" s="65">
        <f t="shared" si="172"/>
        <v>0</v>
      </c>
      <c r="AP213" s="65">
        <f t="shared" si="172"/>
        <v>0</v>
      </c>
      <c r="AQ213" s="65">
        <f t="shared" si="172"/>
        <v>0</v>
      </c>
      <c r="AR213" s="65">
        <f t="shared" si="172"/>
        <v>0</v>
      </c>
      <c r="AS213" s="65">
        <f t="shared" si="172"/>
        <v>0</v>
      </c>
      <c r="AT213" s="65">
        <f t="shared" si="172"/>
        <v>0</v>
      </c>
      <c r="AU213" s="65">
        <f t="shared" si="172"/>
        <v>0</v>
      </c>
      <c r="AV213" s="65">
        <f t="shared" si="172"/>
        <v>0</v>
      </c>
      <c r="AW213" s="65">
        <f t="shared" si="172"/>
        <v>0</v>
      </c>
      <c r="AX213" s="65">
        <f t="shared" si="172"/>
        <v>0</v>
      </c>
      <c r="AY213" s="65">
        <f t="shared" si="172"/>
        <v>0</v>
      </c>
      <c r="AZ213" s="65">
        <f t="shared" si="172"/>
        <v>0</v>
      </c>
      <c r="BA213" s="65">
        <f t="shared" si="172"/>
        <v>0</v>
      </c>
      <c r="BB213" s="65">
        <f t="shared" si="172"/>
        <v>0</v>
      </c>
      <c r="BC213" s="65">
        <f t="shared" si="172"/>
        <v>0</v>
      </c>
      <c r="BD213" s="65">
        <f t="shared" si="172"/>
        <v>0</v>
      </c>
      <c r="BE213" s="65">
        <f t="shared" si="172"/>
        <v>0</v>
      </c>
      <c r="BF213" s="65">
        <f t="shared" si="172"/>
        <v>0</v>
      </c>
      <c r="BG213" s="65">
        <f t="shared" si="172"/>
        <v>0</v>
      </c>
      <c r="BH213" s="65">
        <f t="shared" si="172"/>
        <v>0</v>
      </c>
      <c r="BI213" s="65">
        <f t="shared" si="172"/>
        <v>0</v>
      </c>
      <c r="BJ213" s="65">
        <f t="shared" si="172"/>
        <v>0</v>
      </c>
      <c r="BK213" s="65">
        <f t="shared" si="172"/>
        <v>0</v>
      </c>
      <c r="BL213" s="65">
        <f t="shared" si="172"/>
        <v>0</v>
      </c>
      <c r="BM213" s="65">
        <f t="shared" si="172"/>
        <v>0</v>
      </c>
      <c r="BN213" s="65">
        <f t="shared" si="172"/>
        <v>0</v>
      </c>
      <c r="BO213" s="65">
        <f t="shared" si="172"/>
        <v>0</v>
      </c>
      <c r="BP213" s="65">
        <f t="shared" si="172"/>
        <v>0</v>
      </c>
      <c r="BQ213" s="7"/>
      <c r="BU213" s="7"/>
      <c r="BW213" s="1"/>
      <c r="BX213" s="1"/>
      <c r="CD213" s="1"/>
      <c r="CE213" s="1"/>
      <c r="CF213" s="1"/>
      <c r="CG213" s="1"/>
      <c r="CH213" s="1"/>
      <c r="CI213" s="55" t="s">
        <v>1</v>
      </c>
      <c r="DJ213" s="369" t="s">
        <v>1099</v>
      </c>
      <c r="DK213" s="463" t="s">
        <v>1100</v>
      </c>
      <c r="DL213" s="369" t="s">
        <v>1067</v>
      </c>
      <c r="DM213" s="369" t="s">
        <v>1076</v>
      </c>
      <c r="DN213" s="369" t="s">
        <v>1077</v>
      </c>
      <c r="DO213" s="462" t="s">
        <v>1078</v>
      </c>
      <c r="DQ213" s="58" t="s">
        <v>231</v>
      </c>
    </row>
    <row r="214" spans="13:121" ht="19.5" customHeight="1">
      <c r="M214" s="58" t="s">
        <v>231</v>
      </c>
      <c r="W214" s="55" t="s">
        <v>1</v>
      </c>
      <c r="AB214" s="65">
        <f aca="true" t="shared" si="173" ref="AB214:BP214">IF($BT$114=0,0,IF(AB$127=0,0,1))</f>
        <v>0</v>
      </c>
      <c r="AC214" s="65">
        <f t="shared" si="173"/>
        <v>0</v>
      </c>
      <c r="AD214" s="65">
        <f t="shared" si="173"/>
        <v>0</v>
      </c>
      <c r="AE214" s="65">
        <f t="shared" si="173"/>
        <v>0</v>
      </c>
      <c r="AF214" s="65">
        <f t="shared" si="173"/>
        <v>0</v>
      </c>
      <c r="AG214" s="65">
        <f t="shared" si="173"/>
        <v>0</v>
      </c>
      <c r="AH214" s="65">
        <f t="shared" si="173"/>
        <v>0</v>
      </c>
      <c r="AI214" s="65">
        <f t="shared" si="173"/>
        <v>0</v>
      </c>
      <c r="AJ214" s="65">
        <f t="shared" si="173"/>
        <v>0</v>
      </c>
      <c r="AK214" s="65">
        <f t="shared" si="173"/>
        <v>0</v>
      </c>
      <c r="AL214" s="65">
        <f t="shared" si="173"/>
        <v>0</v>
      </c>
      <c r="AM214" s="65">
        <f t="shared" si="173"/>
        <v>0</v>
      </c>
      <c r="AN214" s="65">
        <f t="shared" si="173"/>
        <v>0</v>
      </c>
      <c r="AO214" s="65">
        <f t="shared" si="173"/>
        <v>0</v>
      </c>
      <c r="AP214" s="65">
        <f t="shared" si="173"/>
        <v>0</v>
      </c>
      <c r="AQ214" s="65">
        <f t="shared" si="173"/>
        <v>0</v>
      </c>
      <c r="AR214" s="65">
        <f t="shared" si="173"/>
        <v>0</v>
      </c>
      <c r="AS214" s="65">
        <f t="shared" si="173"/>
        <v>0</v>
      </c>
      <c r="AT214" s="65">
        <f t="shared" si="173"/>
        <v>0</v>
      </c>
      <c r="AU214" s="65">
        <f t="shared" si="173"/>
        <v>0</v>
      </c>
      <c r="AV214" s="65">
        <f t="shared" si="173"/>
        <v>0</v>
      </c>
      <c r="AW214" s="65">
        <f t="shared" si="173"/>
        <v>0</v>
      </c>
      <c r="AX214" s="65">
        <f t="shared" si="173"/>
        <v>0</v>
      </c>
      <c r="AY214" s="65">
        <f t="shared" si="173"/>
        <v>0</v>
      </c>
      <c r="AZ214" s="65">
        <f t="shared" si="173"/>
        <v>0</v>
      </c>
      <c r="BA214" s="65">
        <f t="shared" si="173"/>
        <v>0</v>
      </c>
      <c r="BB214" s="65">
        <f t="shared" si="173"/>
        <v>0</v>
      </c>
      <c r="BC214" s="65">
        <f t="shared" si="173"/>
        <v>0</v>
      </c>
      <c r="BD214" s="65">
        <f t="shared" si="173"/>
        <v>0</v>
      </c>
      <c r="BE214" s="65">
        <f t="shared" si="173"/>
        <v>0</v>
      </c>
      <c r="BF214" s="65">
        <f t="shared" si="173"/>
        <v>0</v>
      </c>
      <c r="BG214" s="65">
        <f t="shared" si="173"/>
        <v>0</v>
      </c>
      <c r="BH214" s="65">
        <f t="shared" si="173"/>
        <v>0</v>
      </c>
      <c r="BI214" s="65">
        <f t="shared" si="173"/>
        <v>0</v>
      </c>
      <c r="BJ214" s="65">
        <f t="shared" si="173"/>
        <v>0</v>
      </c>
      <c r="BK214" s="65">
        <f t="shared" si="173"/>
        <v>0</v>
      </c>
      <c r="BL214" s="65">
        <f t="shared" si="173"/>
        <v>0</v>
      </c>
      <c r="BM214" s="65">
        <f t="shared" si="173"/>
        <v>0</v>
      </c>
      <c r="BN214" s="65">
        <f t="shared" si="173"/>
        <v>0</v>
      </c>
      <c r="BO214" s="65">
        <f t="shared" si="173"/>
        <v>0</v>
      </c>
      <c r="BP214" s="65">
        <f t="shared" si="173"/>
        <v>0</v>
      </c>
      <c r="BQ214" s="7"/>
      <c r="BU214" s="7"/>
      <c r="BW214" s="1"/>
      <c r="BX214" s="1"/>
      <c r="CD214" s="1"/>
      <c r="CE214" s="1"/>
      <c r="CF214" s="1"/>
      <c r="CG214" s="1"/>
      <c r="CH214" s="1"/>
      <c r="CI214" s="55" t="s">
        <v>1</v>
      </c>
      <c r="DJ214" s="369" t="s">
        <v>1101</v>
      </c>
      <c r="DK214" s="461" t="s">
        <v>1102</v>
      </c>
      <c r="DL214" s="369" t="s">
        <v>1067</v>
      </c>
      <c r="DM214" s="369" t="s">
        <v>1076</v>
      </c>
      <c r="DN214" s="369" t="s">
        <v>1077</v>
      </c>
      <c r="DO214" s="462" t="s">
        <v>1078</v>
      </c>
      <c r="DQ214" s="58" t="s">
        <v>231</v>
      </c>
    </row>
    <row r="215" spans="13:121" ht="19.5" customHeight="1">
      <c r="M215" s="58" t="s">
        <v>231</v>
      </c>
      <c r="W215" s="55" t="s">
        <v>1</v>
      </c>
      <c r="Z215" s="55" t="s">
        <v>275</v>
      </c>
      <c r="AB215" s="65">
        <f aca="true" t="shared" si="174" ref="AB215:BP215">IF($BT$115=0,0,IF(AB$127=0,0,1))</f>
        <v>0</v>
      </c>
      <c r="AC215" s="65">
        <f t="shared" si="174"/>
        <v>0</v>
      </c>
      <c r="AD215" s="65">
        <f t="shared" si="174"/>
        <v>0</v>
      </c>
      <c r="AE215" s="65">
        <f t="shared" si="174"/>
        <v>0</v>
      </c>
      <c r="AF215" s="65">
        <f t="shared" si="174"/>
        <v>0</v>
      </c>
      <c r="AG215" s="65">
        <f t="shared" si="174"/>
        <v>0</v>
      </c>
      <c r="AH215" s="65">
        <f t="shared" si="174"/>
        <v>0</v>
      </c>
      <c r="AI215" s="65">
        <f t="shared" si="174"/>
        <v>0</v>
      </c>
      <c r="AJ215" s="65">
        <f t="shared" si="174"/>
        <v>0</v>
      </c>
      <c r="AK215" s="65">
        <f t="shared" si="174"/>
        <v>0</v>
      </c>
      <c r="AL215" s="65">
        <f t="shared" si="174"/>
        <v>0</v>
      </c>
      <c r="AM215" s="65">
        <f t="shared" si="174"/>
        <v>0</v>
      </c>
      <c r="AN215" s="65">
        <f t="shared" si="174"/>
        <v>0</v>
      </c>
      <c r="AO215" s="65">
        <f t="shared" si="174"/>
        <v>0</v>
      </c>
      <c r="AP215" s="65">
        <f t="shared" si="174"/>
        <v>0</v>
      </c>
      <c r="AQ215" s="65">
        <f t="shared" si="174"/>
        <v>0</v>
      </c>
      <c r="AR215" s="65">
        <f t="shared" si="174"/>
        <v>0</v>
      </c>
      <c r="AS215" s="65">
        <f t="shared" si="174"/>
        <v>0</v>
      </c>
      <c r="AT215" s="65">
        <f t="shared" si="174"/>
        <v>0</v>
      </c>
      <c r="AU215" s="65">
        <f t="shared" si="174"/>
        <v>0</v>
      </c>
      <c r="AV215" s="65">
        <f t="shared" si="174"/>
        <v>0</v>
      </c>
      <c r="AW215" s="65">
        <f t="shared" si="174"/>
        <v>0</v>
      </c>
      <c r="AX215" s="65">
        <f t="shared" si="174"/>
        <v>0</v>
      </c>
      <c r="AY215" s="65">
        <f t="shared" si="174"/>
        <v>0</v>
      </c>
      <c r="AZ215" s="65">
        <f t="shared" si="174"/>
        <v>0</v>
      </c>
      <c r="BA215" s="65">
        <f t="shared" si="174"/>
        <v>0</v>
      </c>
      <c r="BB215" s="65">
        <f t="shared" si="174"/>
        <v>0</v>
      </c>
      <c r="BC215" s="65">
        <f t="shared" si="174"/>
        <v>0</v>
      </c>
      <c r="BD215" s="65">
        <f t="shared" si="174"/>
        <v>0</v>
      </c>
      <c r="BE215" s="65">
        <f t="shared" si="174"/>
        <v>0</v>
      </c>
      <c r="BF215" s="65">
        <f t="shared" si="174"/>
        <v>0</v>
      </c>
      <c r="BG215" s="65">
        <f t="shared" si="174"/>
        <v>0</v>
      </c>
      <c r="BH215" s="65">
        <f t="shared" si="174"/>
        <v>0</v>
      </c>
      <c r="BI215" s="65">
        <f t="shared" si="174"/>
        <v>0</v>
      </c>
      <c r="BJ215" s="65">
        <f t="shared" si="174"/>
        <v>0</v>
      </c>
      <c r="BK215" s="65">
        <f t="shared" si="174"/>
        <v>0</v>
      </c>
      <c r="BL215" s="65">
        <f t="shared" si="174"/>
        <v>0</v>
      </c>
      <c r="BM215" s="65">
        <f t="shared" si="174"/>
        <v>0</v>
      </c>
      <c r="BN215" s="65">
        <f t="shared" si="174"/>
        <v>0</v>
      </c>
      <c r="BO215" s="65">
        <f t="shared" si="174"/>
        <v>0</v>
      </c>
      <c r="BP215" s="65">
        <f t="shared" si="174"/>
        <v>0</v>
      </c>
      <c r="BQ215" s="7"/>
      <c r="BU215" s="7"/>
      <c r="BV215" s="1"/>
      <c r="BW215" s="1"/>
      <c r="BX215" s="1"/>
      <c r="CD215" s="1"/>
      <c r="CE215" s="1"/>
      <c r="CF215" s="1"/>
      <c r="CG215" s="1"/>
      <c r="CH215" s="1"/>
      <c r="CI215" s="55" t="s">
        <v>1</v>
      </c>
      <c r="DJ215" s="369" t="s">
        <v>1103</v>
      </c>
      <c r="DK215" s="461" t="s">
        <v>1104</v>
      </c>
      <c r="DL215" s="369" t="s">
        <v>1067</v>
      </c>
      <c r="DM215" s="369" t="s">
        <v>1076</v>
      </c>
      <c r="DN215" s="369" t="s">
        <v>1077</v>
      </c>
      <c r="DO215" s="462" t="s">
        <v>1078</v>
      </c>
      <c r="DQ215" s="58" t="s">
        <v>231</v>
      </c>
    </row>
    <row r="216" spans="13:121" ht="19.5" customHeight="1">
      <c r="M216" s="58" t="s">
        <v>231</v>
      </c>
      <c r="W216" s="55" t="s">
        <v>1</v>
      </c>
      <c r="AB216" s="65">
        <f aca="true" t="shared" si="175" ref="AB216:BP216">IF($BT$116=0,0,IF(AB$127=0,0,1))</f>
        <v>0</v>
      </c>
      <c r="AC216" s="65">
        <f t="shared" si="175"/>
        <v>0</v>
      </c>
      <c r="AD216" s="65">
        <f t="shared" si="175"/>
        <v>0</v>
      </c>
      <c r="AE216" s="65">
        <f t="shared" si="175"/>
        <v>0</v>
      </c>
      <c r="AF216" s="65">
        <f t="shared" si="175"/>
        <v>0</v>
      </c>
      <c r="AG216" s="65">
        <f t="shared" si="175"/>
        <v>0</v>
      </c>
      <c r="AH216" s="65">
        <f t="shared" si="175"/>
        <v>0</v>
      </c>
      <c r="AI216" s="65">
        <f t="shared" si="175"/>
        <v>0</v>
      </c>
      <c r="AJ216" s="65">
        <f t="shared" si="175"/>
        <v>0</v>
      </c>
      <c r="AK216" s="65">
        <f t="shared" si="175"/>
        <v>0</v>
      </c>
      <c r="AL216" s="65">
        <f t="shared" si="175"/>
        <v>0</v>
      </c>
      <c r="AM216" s="65">
        <f t="shared" si="175"/>
        <v>0</v>
      </c>
      <c r="AN216" s="65">
        <f t="shared" si="175"/>
        <v>0</v>
      </c>
      <c r="AO216" s="65">
        <f t="shared" si="175"/>
        <v>0</v>
      </c>
      <c r="AP216" s="65">
        <f t="shared" si="175"/>
        <v>0</v>
      </c>
      <c r="AQ216" s="65">
        <f t="shared" si="175"/>
        <v>0</v>
      </c>
      <c r="AR216" s="65">
        <f t="shared" si="175"/>
        <v>0</v>
      </c>
      <c r="AS216" s="65">
        <f t="shared" si="175"/>
        <v>0</v>
      </c>
      <c r="AT216" s="65">
        <f t="shared" si="175"/>
        <v>0</v>
      </c>
      <c r="AU216" s="65">
        <f t="shared" si="175"/>
        <v>0</v>
      </c>
      <c r="AV216" s="65">
        <f t="shared" si="175"/>
        <v>0</v>
      </c>
      <c r="AW216" s="65">
        <f t="shared" si="175"/>
        <v>0</v>
      </c>
      <c r="AX216" s="65">
        <f t="shared" si="175"/>
        <v>0</v>
      </c>
      <c r="AY216" s="65">
        <f t="shared" si="175"/>
        <v>0</v>
      </c>
      <c r="AZ216" s="65">
        <f t="shared" si="175"/>
        <v>0</v>
      </c>
      <c r="BA216" s="65">
        <f t="shared" si="175"/>
        <v>0</v>
      </c>
      <c r="BB216" s="65">
        <f t="shared" si="175"/>
        <v>0</v>
      </c>
      <c r="BC216" s="65">
        <f t="shared" si="175"/>
        <v>0</v>
      </c>
      <c r="BD216" s="65">
        <f t="shared" si="175"/>
        <v>0</v>
      </c>
      <c r="BE216" s="65">
        <f t="shared" si="175"/>
        <v>0</v>
      </c>
      <c r="BF216" s="65">
        <f t="shared" si="175"/>
        <v>0</v>
      </c>
      <c r="BG216" s="65">
        <f t="shared" si="175"/>
        <v>0</v>
      </c>
      <c r="BH216" s="65">
        <f t="shared" si="175"/>
        <v>0</v>
      </c>
      <c r="BI216" s="65">
        <f t="shared" si="175"/>
        <v>0</v>
      </c>
      <c r="BJ216" s="65">
        <f t="shared" si="175"/>
        <v>0</v>
      </c>
      <c r="BK216" s="65">
        <f t="shared" si="175"/>
        <v>0</v>
      </c>
      <c r="BL216" s="65">
        <f t="shared" si="175"/>
        <v>0</v>
      </c>
      <c r="BM216" s="65">
        <f t="shared" si="175"/>
        <v>0</v>
      </c>
      <c r="BN216" s="65">
        <f t="shared" si="175"/>
        <v>0</v>
      </c>
      <c r="BO216" s="65">
        <f t="shared" si="175"/>
        <v>0</v>
      </c>
      <c r="BP216" s="65">
        <f t="shared" si="175"/>
        <v>0</v>
      </c>
      <c r="BQ216" s="7"/>
      <c r="BU216" s="7"/>
      <c r="BV216" s="1"/>
      <c r="BW216" s="1"/>
      <c r="BX216" s="1"/>
      <c r="CD216" s="1"/>
      <c r="CE216" s="1"/>
      <c r="CF216" s="1"/>
      <c r="CG216" s="1"/>
      <c r="CH216" s="1"/>
      <c r="CI216" s="55" t="s">
        <v>1</v>
      </c>
      <c r="DJ216" s="369" t="s">
        <v>1105</v>
      </c>
      <c r="DK216" s="461" t="s">
        <v>1106</v>
      </c>
      <c r="DL216" s="369" t="s">
        <v>1067</v>
      </c>
      <c r="DM216" s="369" t="s">
        <v>1076</v>
      </c>
      <c r="DN216" s="369" t="s">
        <v>1077</v>
      </c>
      <c r="DO216" s="462" t="s">
        <v>1078</v>
      </c>
      <c r="DQ216" s="58" t="s">
        <v>231</v>
      </c>
    </row>
    <row r="217" spans="13:121" ht="19.5" customHeight="1">
      <c r="M217" s="58" t="s">
        <v>231</v>
      </c>
      <c r="W217" s="55" t="s">
        <v>1</v>
      </c>
      <c r="Z217" s="55" t="s">
        <v>276</v>
      </c>
      <c r="AB217" s="65">
        <f aca="true" t="shared" si="176" ref="AB217:BP217">IF($BT$117=0,0,IF(AB$127=0,0,1))</f>
        <v>0</v>
      </c>
      <c r="AC217" s="65">
        <f t="shared" si="176"/>
        <v>0</v>
      </c>
      <c r="AD217" s="65">
        <f t="shared" si="176"/>
        <v>0</v>
      </c>
      <c r="AE217" s="65">
        <f t="shared" si="176"/>
        <v>0</v>
      </c>
      <c r="AF217" s="65">
        <f t="shared" si="176"/>
        <v>0</v>
      </c>
      <c r="AG217" s="65">
        <f t="shared" si="176"/>
        <v>0</v>
      </c>
      <c r="AH217" s="65">
        <f t="shared" si="176"/>
        <v>0</v>
      </c>
      <c r="AI217" s="65">
        <f t="shared" si="176"/>
        <v>0</v>
      </c>
      <c r="AJ217" s="65">
        <f t="shared" si="176"/>
        <v>0</v>
      </c>
      <c r="AK217" s="65">
        <f t="shared" si="176"/>
        <v>0</v>
      </c>
      <c r="AL217" s="65">
        <f t="shared" si="176"/>
        <v>0</v>
      </c>
      <c r="AM217" s="65">
        <f t="shared" si="176"/>
        <v>0</v>
      </c>
      <c r="AN217" s="65">
        <f t="shared" si="176"/>
        <v>0</v>
      </c>
      <c r="AO217" s="65">
        <f t="shared" si="176"/>
        <v>0</v>
      </c>
      <c r="AP217" s="65">
        <f t="shared" si="176"/>
        <v>0</v>
      </c>
      <c r="AQ217" s="65">
        <f t="shared" si="176"/>
        <v>0</v>
      </c>
      <c r="AR217" s="65">
        <f t="shared" si="176"/>
        <v>0</v>
      </c>
      <c r="AS217" s="65">
        <f t="shared" si="176"/>
        <v>0</v>
      </c>
      <c r="AT217" s="65">
        <f t="shared" si="176"/>
        <v>0</v>
      </c>
      <c r="AU217" s="65">
        <f t="shared" si="176"/>
        <v>0</v>
      </c>
      <c r="AV217" s="65">
        <f t="shared" si="176"/>
        <v>0</v>
      </c>
      <c r="AW217" s="65">
        <f t="shared" si="176"/>
        <v>0</v>
      </c>
      <c r="AX217" s="65">
        <f t="shared" si="176"/>
        <v>0</v>
      </c>
      <c r="AY217" s="65">
        <f t="shared" si="176"/>
        <v>0</v>
      </c>
      <c r="AZ217" s="65">
        <f t="shared" si="176"/>
        <v>0</v>
      </c>
      <c r="BA217" s="65">
        <f t="shared" si="176"/>
        <v>0</v>
      </c>
      <c r="BB217" s="65">
        <f t="shared" si="176"/>
        <v>0</v>
      </c>
      <c r="BC217" s="65">
        <f t="shared" si="176"/>
        <v>0</v>
      </c>
      <c r="BD217" s="65">
        <f t="shared" si="176"/>
        <v>0</v>
      </c>
      <c r="BE217" s="65">
        <f t="shared" si="176"/>
        <v>0</v>
      </c>
      <c r="BF217" s="65">
        <f t="shared" si="176"/>
        <v>0</v>
      </c>
      <c r="BG217" s="65">
        <f t="shared" si="176"/>
        <v>0</v>
      </c>
      <c r="BH217" s="65">
        <f t="shared" si="176"/>
        <v>0</v>
      </c>
      <c r="BI217" s="65">
        <f t="shared" si="176"/>
        <v>0</v>
      </c>
      <c r="BJ217" s="65">
        <f t="shared" si="176"/>
        <v>0</v>
      </c>
      <c r="BK217" s="65">
        <f t="shared" si="176"/>
        <v>0</v>
      </c>
      <c r="BL217" s="65">
        <f t="shared" si="176"/>
        <v>0</v>
      </c>
      <c r="BM217" s="65">
        <f t="shared" si="176"/>
        <v>0</v>
      </c>
      <c r="BN217" s="65">
        <f t="shared" si="176"/>
        <v>0</v>
      </c>
      <c r="BO217" s="65">
        <f t="shared" si="176"/>
        <v>0</v>
      </c>
      <c r="BP217" s="65">
        <f t="shared" si="176"/>
        <v>0</v>
      </c>
      <c r="BQ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55" t="s">
        <v>1</v>
      </c>
      <c r="DJ217" s="369" t="s">
        <v>1107</v>
      </c>
      <c r="DK217" s="461" t="s">
        <v>1108</v>
      </c>
      <c r="DL217" s="369" t="s">
        <v>1067</v>
      </c>
      <c r="DM217" s="369" t="s">
        <v>1076</v>
      </c>
      <c r="DN217" s="369" t="s">
        <v>1077</v>
      </c>
      <c r="DO217" s="462" t="s">
        <v>1078</v>
      </c>
      <c r="DQ217" s="58" t="s">
        <v>231</v>
      </c>
    </row>
    <row r="218" spans="13:121" ht="19.5" customHeight="1">
      <c r="M218" s="58" t="s">
        <v>231</v>
      </c>
      <c r="W218" s="55" t="s">
        <v>1</v>
      </c>
      <c r="AB218" s="65">
        <f aca="true" t="shared" si="177" ref="AB218:BP218">IF($BT$118=0,0,IF(AB$127=0,0,1))</f>
        <v>0</v>
      </c>
      <c r="AC218" s="65">
        <f t="shared" si="177"/>
        <v>0</v>
      </c>
      <c r="AD218" s="65">
        <f t="shared" si="177"/>
        <v>0</v>
      </c>
      <c r="AE218" s="65">
        <f t="shared" si="177"/>
        <v>0</v>
      </c>
      <c r="AF218" s="65">
        <f t="shared" si="177"/>
        <v>0</v>
      </c>
      <c r="AG218" s="65">
        <f t="shared" si="177"/>
        <v>0</v>
      </c>
      <c r="AH218" s="65">
        <f t="shared" si="177"/>
        <v>0</v>
      </c>
      <c r="AI218" s="65">
        <f t="shared" si="177"/>
        <v>0</v>
      </c>
      <c r="AJ218" s="65">
        <f t="shared" si="177"/>
        <v>0</v>
      </c>
      <c r="AK218" s="65">
        <f t="shared" si="177"/>
        <v>0</v>
      </c>
      <c r="AL218" s="65">
        <f t="shared" si="177"/>
        <v>0</v>
      </c>
      <c r="AM218" s="65">
        <f t="shared" si="177"/>
        <v>0</v>
      </c>
      <c r="AN218" s="65">
        <f t="shared" si="177"/>
        <v>0</v>
      </c>
      <c r="AO218" s="65">
        <f t="shared" si="177"/>
        <v>0</v>
      </c>
      <c r="AP218" s="65">
        <f t="shared" si="177"/>
        <v>0</v>
      </c>
      <c r="AQ218" s="65">
        <f t="shared" si="177"/>
        <v>0</v>
      </c>
      <c r="AR218" s="65">
        <f t="shared" si="177"/>
        <v>0</v>
      </c>
      <c r="AS218" s="65">
        <f t="shared" si="177"/>
        <v>0</v>
      </c>
      <c r="AT218" s="65">
        <f t="shared" si="177"/>
        <v>0</v>
      </c>
      <c r="AU218" s="65">
        <f t="shared" si="177"/>
        <v>0</v>
      </c>
      <c r="AV218" s="65">
        <f t="shared" si="177"/>
        <v>0</v>
      </c>
      <c r="AW218" s="65">
        <f t="shared" si="177"/>
        <v>0</v>
      </c>
      <c r="AX218" s="65">
        <f t="shared" si="177"/>
        <v>0</v>
      </c>
      <c r="AY218" s="65">
        <f t="shared" si="177"/>
        <v>0</v>
      </c>
      <c r="AZ218" s="65">
        <f t="shared" si="177"/>
        <v>0</v>
      </c>
      <c r="BA218" s="65">
        <f t="shared" si="177"/>
        <v>0</v>
      </c>
      <c r="BB218" s="65">
        <f t="shared" si="177"/>
        <v>0</v>
      </c>
      <c r="BC218" s="65">
        <f t="shared" si="177"/>
        <v>0</v>
      </c>
      <c r="BD218" s="65">
        <f t="shared" si="177"/>
        <v>0</v>
      </c>
      <c r="BE218" s="65">
        <f t="shared" si="177"/>
        <v>0</v>
      </c>
      <c r="BF218" s="65">
        <f t="shared" si="177"/>
        <v>0</v>
      </c>
      <c r="BG218" s="65">
        <f t="shared" si="177"/>
        <v>0</v>
      </c>
      <c r="BH218" s="65">
        <f t="shared" si="177"/>
        <v>0</v>
      </c>
      <c r="BI218" s="65">
        <f t="shared" si="177"/>
        <v>0</v>
      </c>
      <c r="BJ218" s="65">
        <f t="shared" si="177"/>
        <v>0</v>
      </c>
      <c r="BK218" s="65">
        <f t="shared" si="177"/>
        <v>0</v>
      </c>
      <c r="BL218" s="65">
        <f t="shared" si="177"/>
        <v>0</v>
      </c>
      <c r="BM218" s="65">
        <f t="shared" si="177"/>
        <v>0</v>
      </c>
      <c r="BN218" s="65">
        <f t="shared" si="177"/>
        <v>0</v>
      </c>
      <c r="BO218" s="65">
        <f t="shared" si="177"/>
        <v>0</v>
      </c>
      <c r="BP218" s="65">
        <f t="shared" si="177"/>
        <v>0</v>
      </c>
      <c r="BQ218" s="7"/>
      <c r="CI218" s="55" t="s">
        <v>1</v>
      </c>
      <c r="DJ218" s="369" t="s">
        <v>1109</v>
      </c>
      <c r="DK218" s="461" t="s">
        <v>1110</v>
      </c>
      <c r="DL218" s="369" t="s">
        <v>1067</v>
      </c>
      <c r="DM218" s="369" t="s">
        <v>1111</v>
      </c>
      <c r="DN218" s="369" t="s">
        <v>1112</v>
      </c>
      <c r="DO218" s="462" t="s">
        <v>1113</v>
      </c>
      <c r="DQ218" s="58" t="s">
        <v>231</v>
      </c>
    </row>
    <row r="219" spans="13:121" ht="19.5" customHeight="1">
      <c r="M219" s="58" t="s">
        <v>231</v>
      </c>
      <c r="W219" s="55" t="s">
        <v>1</v>
      </c>
      <c r="Z219" s="55" t="s">
        <v>277</v>
      </c>
      <c r="AB219" s="65">
        <f aca="true" t="shared" si="178" ref="AB219:BP219">IF($BT$119=0,0,IF(AB$127=0,0,1))</f>
        <v>0</v>
      </c>
      <c r="AC219" s="65">
        <f t="shared" si="178"/>
        <v>0</v>
      </c>
      <c r="AD219" s="65">
        <f t="shared" si="178"/>
        <v>0</v>
      </c>
      <c r="AE219" s="65">
        <f t="shared" si="178"/>
        <v>0</v>
      </c>
      <c r="AF219" s="65">
        <f t="shared" si="178"/>
        <v>0</v>
      </c>
      <c r="AG219" s="65">
        <f t="shared" si="178"/>
        <v>0</v>
      </c>
      <c r="AH219" s="65">
        <f t="shared" si="178"/>
        <v>0</v>
      </c>
      <c r="AI219" s="65">
        <f t="shared" si="178"/>
        <v>0</v>
      </c>
      <c r="AJ219" s="65">
        <f t="shared" si="178"/>
        <v>0</v>
      </c>
      <c r="AK219" s="65">
        <f t="shared" si="178"/>
        <v>0</v>
      </c>
      <c r="AL219" s="65">
        <f t="shared" si="178"/>
        <v>0</v>
      </c>
      <c r="AM219" s="65">
        <f t="shared" si="178"/>
        <v>0</v>
      </c>
      <c r="AN219" s="65">
        <f t="shared" si="178"/>
        <v>0</v>
      </c>
      <c r="AO219" s="65">
        <f t="shared" si="178"/>
        <v>0</v>
      </c>
      <c r="AP219" s="65">
        <f t="shared" si="178"/>
        <v>0</v>
      </c>
      <c r="AQ219" s="65">
        <f t="shared" si="178"/>
        <v>0</v>
      </c>
      <c r="AR219" s="65">
        <f t="shared" si="178"/>
        <v>0</v>
      </c>
      <c r="AS219" s="65">
        <f t="shared" si="178"/>
        <v>0</v>
      </c>
      <c r="AT219" s="65">
        <f t="shared" si="178"/>
        <v>0</v>
      </c>
      <c r="AU219" s="65">
        <f t="shared" si="178"/>
        <v>0</v>
      </c>
      <c r="AV219" s="65">
        <f t="shared" si="178"/>
        <v>0</v>
      </c>
      <c r="AW219" s="65">
        <f t="shared" si="178"/>
        <v>0</v>
      </c>
      <c r="AX219" s="65">
        <f t="shared" si="178"/>
        <v>0</v>
      </c>
      <c r="AY219" s="65">
        <f t="shared" si="178"/>
        <v>0</v>
      </c>
      <c r="AZ219" s="65">
        <f t="shared" si="178"/>
        <v>0</v>
      </c>
      <c r="BA219" s="65">
        <f t="shared" si="178"/>
        <v>0</v>
      </c>
      <c r="BB219" s="65">
        <f t="shared" si="178"/>
        <v>0</v>
      </c>
      <c r="BC219" s="65">
        <f t="shared" si="178"/>
        <v>0</v>
      </c>
      <c r="BD219" s="65">
        <f t="shared" si="178"/>
        <v>0</v>
      </c>
      <c r="BE219" s="65">
        <f t="shared" si="178"/>
        <v>0</v>
      </c>
      <c r="BF219" s="65">
        <f t="shared" si="178"/>
        <v>0</v>
      </c>
      <c r="BG219" s="65">
        <f t="shared" si="178"/>
        <v>0</v>
      </c>
      <c r="BH219" s="65">
        <f t="shared" si="178"/>
        <v>0</v>
      </c>
      <c r="BI219" s="65">
        <f t="shared" si="178"/>
        <v>0</v>
      </c>
      <c r="BJ219" s="65">
        <f t="shared" si="178"/>
        <v>0</v>
      </c>
      <c r="BK219" s="65">
        <f t="shared" si="178"/>
        <v>0</v>
      </c>
      <c r="BL219" s="65">
        <f t="shared" si="178"/>
        <v>0</v>
      </c>
      <c r="BM219" s="65">
        <f t="shared" si="178"/>
        <v>0</v>
      </c>
      <c r="BN219" s="65">
        <f t="shared" si="178"/>
        <v>0</v>
      </c>
      <c r="BO219" s="65">
        <f t="shared" si="178"/>
        <v>0</v>
      </c>
      <c r="BP219" s="65">
        <f t="shared" si="178"/>
        <v>0</v>
      </c>
      <c r="BQ219" s="7"/>
      <c r="CI219" s="55" t="s">
        <v>1</v>
      </c>
      <c r="DJ219" s="369" t="s">
        <v>1114</v>
      </c>
      <c r="DK219" s="463" t="s">
        <v>1115</v>
      </c>
      <c r="DL219" s="369" t="s">
        <v>1067</v>
      </c>
      <c r="DM219" s="369" t="s">
        <v>1111</v>
      </c>
      <c r="DN219" s="369" t="s">
        <v>1112</v>
      </c>
      <c r="DO219" s="462" t="s">
        <v>1113</v>
      </c>
      <c r="DQ219" s="58" t="s">
        <v>231</v>
      </c>
    </row>
    <row r="220" spans="13:121" ht="19.5" customHeight="1">
      <c r="M220" s="58" t="s">
        <v>231</v>
      </c>
      <c r="W220" s="55" t="s">
        <v>1</v>
      </c>
      <c r="AA220" s="55" t="s">
        <v>2</v>
      </c>
      <c r="AB220" s="65" t="s">
        <v>280</v>
      </c>
      <c r="AH220" s="74"/>
      <c r="AV220" s="65" t="s">
        <v>280</v>
      </c>
      <c r="BB220" s="74"/>
      <c r="BP220" s="65" t="s">
        <v>280</v>
      </c>
      <c r="BQ220" s="7"/>
      <c r="CI220" s="55" t="s">
        <v>1</v>
      </c>
      <c r="DJ220" s="369" t="s">
        <v>1116</v>
      </c>
      <c r="DK220" s="461" t="s">
        <v>1117</v>
      </c>
      <c r="DL220" s="369" t="s">
        <v>1067</v>
      </c>
      <c r="DM220" s="369" t="s">
        <v>1111</v>
      </c>
      <c r="DN220" s="369" t="s">
        <v>1112</v>
      </c>
      <c r="DO220" s="462" t="s">
        <v>1113</v>
      </c>
      <c r="DQ220" s="58" t="s">
        <v>231</v>
      </c>
    </row>
    <row r="221" spans="13:121" ht="19.5" customHeight="1">
      <c r="M221" s="58" t="s">
        <v>231</v>
      </c>
      <c r="W221" s="55" t="s">
        <v>1</v>
      </c>
      <c r="AA221" s="55" t="s">
        <v>2</v>
      </c>
      <c r="AB221" s="65" t="s">
        <v>280</v>
      </c>
      <c r="AG221" s="65" t="s">
        <v>280</v>
      </c>
      <c r="AL221" s="65" t="s">
        <v>280</v>
      </c>
      <c r="AQ221" s="65" t="s">
        <v>280</v>
      </c>
      <c r="AV221" s="65" t="s">
        <v>280</v>
      </c>
      <c r="BA221" s="65" t="s">
        <v>280</v>
      </c>
      <c r="BF221" s="65" t="s">
        <v>280</v>
      </c>
      <c r="BH221" s="7"/>
      <c r="BI221" s="7"/>
      <c r="BJ221" s="7"/>
      <c r="BK221" s="65" t="s">
        <v>280</v>
      </c>
      <c r="BM221" s="7"/>
      <c r="BN221" s="7"/>
      <c r="BO221" s="7"/>
      <c r="BP221" s="65" t="s">
        <v>280</v>
      </c>
      <c r="CI221" s="55" t="s">
        <v>1</v>
      </c>
      <c r="DJ221" s="369" t="s">
        <v>1118</v>
      </c>
      <c r="DK221" s="461" t="s">
        <v>1119</v>
      </c>
      <c r="DL221" s="369" t="s">
        <v>1067</v>
      </c>
      <c r="DM221" s="369" t="s">
        <v>1120</v>
      </c>
      <c r="DN221" s="369" t="s">
        <v>1121</v>
      </c>
      <c r="DO221" s="462" t="s">
        <v>1122</v>
      </c>
      <c r="DQ221" s="58" t="s">
        <v>231</v>
      </c>
    </row>
    <row r="222" spans="13:121" ht="19.5" customHeight="1">
      <c r="M222" s="58" t="s">
        <v>231</v>
      </c>
      <c r="W222" s="55" t="s">
        <v>1</v>
      </c>
      <c r="AB222" s="58" t="s">
        <v>83</v>
      </c>
      <c r="AG222" s="58" t="s">
        <v>281</v>
      </c>
      <c r="AL222" s="58" t="s">
        <v>84</v>
      </c>
      <c r="AP222" s="7"/>
      <c r="AQ222" s="58" t="s">
        <v>282</v>
      </c>
      <c r="AV222" s="77" t="s">
        <v>85</v>
      </c>
      <c r="BA222" s="58" t="s">
        <v>283</v>
      </c>
      <c r="BF222" s="58" t="s">
        <v>284</v>
      </c>
      <c r="BH222" s="7"/>
      <c r="BI222" s="7"/>
      <c r="BJ222" s="7"/>
      <c r="BK222" s="58" t="s">
        <v>285</v>
      </c>
      <c r="BM222" s="7"/>
      <c r="BN222" s="7"/>
      <c r="BO222" s="7"/>
      <c r="BP222" s="58" t="s">
        <v>286</v>
      </c>
      <c r="BQ222" s="7"/>
      <c r="CI222" s="55" t="s">
        <v>1</v>
      </c>
      <c r="DJ222" s="369" t="s">
        <v>1123</v>
      </c>
      <c r="DK222" s="463" t="s">
        <v>1124</v>
      </c>
      <c r="DL222" s="369" t="s">
        <v>1067</v>
      </c>
      <c r="DM222" s="369" t="s">
        <v>1120</v>
      </c>
      <c r="DN222" s="369" t="s">
        <v>1121</v>
      </c>
      <c r="DO222" s="462" t="s">
        <v>1122</v>
      </c>
      <c r="DQ222" s="58" t="s">
        <v>231</v>
      </c>
    </row>
    <row r="223" spans="13:121" ht="19.5" customHeight="1">
      <c r="M223" s="58" t="s">
        <v>231</v>
      </c>
      <c r="W223" s="55" t="s">
        <v>1</v>
      </c>
      <c r="CI223" s="55" t="s">
        <v>1</v>
      </c>
      <c r="DJ223" s="369" t="s">
        <v>1125</v>
      </c>
      <c r="DK223" s="461" t="s">
        <v>1126</v>
      </c>
      <c r="DL223" s="369" t="s">
        <v>1067</v>
      </c>
      <c r="DM223" s="369" t="s">
        <v>1127</v>
      </c>
      <c r="DN223" s="369" t="s">
        <v>1128</v>
      </c>
      <c r="DO223" s="462" t="s">
        <v>1129</v>
      </c>
      <c r="DQ223" s="58" t="s">
        <v>231</v>
      </c>
    </row>
    <row r="224" spans="13:121" ht="19.5" customHeight="1">
      <c r="M224" s="58" t="s">
        <v>231</v>
      </c>
      <c r="W224" s="55" t="s">
        <v>1</v>
      </c>
      <c r="CI224" s="55" t="s">
        <v>1</v>
      </c>
      <c r="DJ224" s="369" t="s">
        <v>1130</v>
      </c>
      <c r="DK224" s="461" t="s">
        <v>1131</v>
      </c>
      <c r="DL224" s="369" t="s">
        <v>1067</v>
      </c>
      <c r="DM224" s="369" t="s">
        <v>1132</v>
      </c>
      <c r="DN224" s="369" t="s">
        <v>1133</v>
      </c>
      <c r="DO224" s="462" t="s">
        <v>1134</v>
      </c>
      <c r="DQ224" s="58" t="s">
        <v>231</v>
      </c>
    </row>
    <row r="225" spans="13:121" ht="19.5" customHeight="1">
      <c r="M225" s="58" t="s">
        <v>231</v>
      </c>
      <c r="W225" s="55" t="s">
        <v>1</v>
      </c>
      <c r="X225" s="59" t="s">
        <v>0</v>
      </c>
      <c r="Y225" s="59" t="s">
        <v>0</v>
      </c>
      <c r="Z225" s="59" t="s">
        <v>0</v>
      </c>
      <c r="AA225" s="59" t="s">
        <v>0</v>
      </c>
      <c r="AB225" s="59" t="s">
        <v>0</v>
      </c>
      <c r="AC225" s="59" t="s">
        <v>0</v>
      </c>
      <c r="AD225" s="59" t="s">
        <v>0</v>
      </c>
      <c r="AE225" s="59" t="s">
        <v>0</v>
      </c>
      <c r="AF225" s="59" t="s">
        <v>0</v>
      </c>
      <c r="AG225" s="59" t="s">
        <v>0</v>
      </c>
      <c r="AH225" s="59" t="s">
        <v>0</v>
      </c>
      <c r="AI225" s="59" t="s">
        <v>0</v>
      </c>
      <c r="AJ225" s="59" t="s">
        <v>0</v>
      </c>
      <c r="AK225" s="59" t="s">
        <v>0</v>
      </c>
      <c r="AL225" s="59" t="s">
        <v>0</v>
      </c>
      <c r="AM225" s="59" t="s">
        <v>0</v>
      </c>
      <c r="AN225" s="59" t="s">
        <v>0</v>
      </c>
      <c r="AO225" s="59" t="s">
        <v>0</v>
      </c>
      <c r="AP225" s="59" t="s">
        <v>0</v>
      </c>
      <c r="AQ225" s="59" t="s">
        <v>0</v>
      </c>
      <c r="AR225" s="59" t="s">
        <v>0</v>
      </c>
      <c r="AS225" s="59" t="s">
        <v>0</v>
      </c>
      <c r="AT225" s="59" t="s">
        <v>0</v>
      </c>
      <c r="AU225" s="59" t="s">
        <v>0</v>
      </c>
      <c r="AV225" s="59" t="s">
        <v>0</v>
      </c>
      <c r="AW225" s="59" t="s">
        <v>0</v>
      </c>
      <c r="AX225" s="59" t="s">
        <v>0</v>
      </c>
      <c r="AY225" s="59" t="s">
        <v>0</v>
      </c>
      <c r="AZ225" s="59" t="s">
        <v>0</v>
      </c>
      <c r="BA225" s="59" t="s">
        <v>0</v>
      </c>
      <c r="BB225" s="59" t="s">
        <v>0</v>
      </c>
      <c r="BC225" s="59" t="s">
        <v>0</v>
      </c>
      <c r="BD225" s="59" t="s">
        <v>0</v>
      </c>
      <c r="BE225" s="59" t="s">
        <v>0</v>
      </c>
      <c r="BF225" s="59" t="s">
        <v>0</v>
      </c>
      <c r="BG225" s="59" t="s">
        <v>0</v>
      </c>
      <c r="BH225" s="59" t="s">
        <v>0</v>
      </c>
      <c r="BI225" s="59" t="s">
        <v>0</v>
      </c>
      <c r="BJ225" s="59" t="s">
        <v>0</v>
      </c>
      <c r="BK225" s="59" t="s">
        <v>0</v>
      </c>
      <c r="BL225" s="59" t="s">
        <v>0</v>
      </c>
      <c r="BM225" s="59" t="s">
        <v>0</v>
      </c>
      <c r="BN225" s="59" t="s">
        <v>0</v>
      </c>
      <c r="BO225" s="59" t="s">
        <v>0</v>
      </c>
      <c r="BP225" s="59" t="s">
        <v>0</v>
      </c>
      <c r="BQ225" s="59" t="s">
        <v>0</v>
      </c>
      <c r="BR225" s="59" t="s">
        <v>0</v>
      </c>
      <c r="BS225" s="59" t="s">
        <v>0</v>
      </c>
      <c r="BT225" s="59" t="s">
        <v>0</v>
      </c>
      <c r="BU225" s="59" t="s">
        <v>0</v>
      </c>
      <c r="BV225" s="59" t="s">
        <v>0</v>
      </c>
      <c r="BW225" s="59" t="s">
        <v>0</v>
      </c>
      <c r="BX225" s="59" t="s">
        <v>0</v>
      </c>
      <c r="BY225" s="59" t="s">
        <v>0</v>
      </c>
      <c r="BZ225" s="59" t="s">
        <v>0</v>
      </c>
      <c r="CA225" s="59" t="s">
        <v>0</v>
      </c>
      <c r="CB225" s="59" t="s">
        <v>0</v>
      </c>
      <c r="CC225" s="59" t="s">
        <v>0</v>
      </c>
      <c r="CD225" s="59" t="s">
        <v>0</v>
      </c>
      <c r="CE225" s="59" t="s">
        <v>0</v>
      </c>
      <c r="CF225" s="59" t="s">
        <v>0</v>
      </c>
      <c r="CG225" s="59" t="s">
        <v>0</v>
      </c>
      <c r="CH225" s="59" t="s">
        <v>0</v>
      </c>
      <c r="CI225" s="55" t="s">
        <v>1</v>
      </c>
      <c r="DJ225" s="369" t="s">
        <v>1135</v>
      </c>
      <c r="DK225" s="461" t="s">
        <v>1136</v>
      </c>
      <c r="DL225" s="369" t="s">
        <v>1067</v>
      </c>
      <c r="DM225" s="369" t="s">
        <v>1127</v>
      </c>
      <c r="DN225" s="369" t="s">
        <v>1128</v>
      </c>
      <c r="DO225" s="462" t="s">
        <v>1129</v>
      </c>
      <c r="DQ225" s="58" t="s">
        <v>231</v>
      </c>
    </row>
    <row r="226" spans="13:136" ht="19.5" customHeight="1">
      <c r="M226" s="58" t="s">
        <v>231</v>
      </c>
      <c r="W226" s="55" t="s">
        <v>1</v>
      </c>
      <c r="CI226" s="55" t="s">
        <v>1</v>
      </c>
      <c r="DJ226" s="369" t="s">
        <v>1137</v>
      </c>
      <c r="DK226" s="461" t="s">
        <v>1138</v>
      </c>
      <c r="DL226" s="369" t="s">
        <v>1067</v>
      </c>
      <c r="DM226" s="369" t="s">
        <v>1127</v>
      </c>
      <c r="DN226" s="369" t="s">
        <v>1128</v>
      </c>
      <c r="DO226" s="462" t="s">
        <v>1129</v>
      </c>
      <c r="DQ226" s="58" t="s">
        <v>231</v>
      </c>
      <c r="EF226" s="3"/>
    </row>
    <row r="227" spans="13:136" ht="19.5" customHeight="1">
      <c r="M227" s="58" t="s">
        <v>231</v>
      </c>
      <c r="W227" s="55" t="s">
        <v>1</v>
      </c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3"/>
      <c r="AS227" s="102"/>
      <c r="AU227" s="55" t="s">
        <v>292</v>
      </c>
      <c r="AV227" s="102"/>
      <c r="AW227" s="102"/>
      <c r="AX227" s="102"/>
      <c r="AY227" s="102"/>
      <c r="AZ227" s="102"/>
      <c r="BA227" s="102"/>
      <c r="BB227" s="102"/>
      <c r="BC227" s="102"/>
      <c r="BD227" s="103"/>
      <c r="BE227" s="103"/>
      <c r="BF227" s="103"/>
      <c r="BG227" s="103"/>
      <c r="BH227" s="103"/>
      <c r="BI227" s="103"/>
      <c r="BJ227" s="103"/>
      <c r="BK227" s="103"/>
      <c r="BL227" s="103"/>
      <c r="BM227" s="103"/>
      <c r="BN227" s="102"/>
      <c r="BO227" s="7"/>
      <c r="BP227" s="7"/>
      <c r="CI227" s="55" t="s">
        <v>1</v>
      </c>
      <c r="DJ227" s="369" t="s">
        <v>1139</v>
      </c>
      <c r="DK227" s="461" t="s">
        <v>1140</v>
      </c>
      <c r="DL227" s="369" t="s">
        <v>1067</v>
      </c>
      <c r="DM227" s="369" t="s">
        <v>1132</v>
      </c>
      <c r="DN227" s="369" t="s">
        <v>1133</v>
      </c>
      <c r="DO227" s="462" t="s">
        <v>1134</v>
      </c>
      <c r="DQ227" s="58" t="s">
        <v>231</v>
      </c>
      <c r="EF227" s="3"/>
    </row>
    <row r="228" spans="13:136" ht="19.5" customHeight="1">
      <c r="M228" s="58" t="s">
        <v>231</v>
      </c>
      <c r="W228" s="55" t="s">
        <v>1</v>
      </c>
      <c r="AG228" s="74"/>
      <c r="AP228" s="7"/>
      <c r="BD228" s="74"/>
      <c r="BF228" s="7"/>
      <c r="BG228" s="7"/>
      <c r="BH228" s="7"/>
      <c r="BI228" s="7"/>
      <c r="BJ228" s="7"/>
      <c r="BK228" s="7"/>
      <c r="BL228" s="7"/>
      <c r="BM228" s="7"/>
      <c r="BN228" s="7"/>
      <c r="BP228" s="7"/>
      <c r="CI228" s="55" t="s">
        <v>1</v>
      </c>
      <c r="DJ228" s="369" t="s">
        <v>1141</v>
      </c>
      <c r="DK228" s="463" t="s">
        <v>1142</v>
      </c>
      <c r="DL228" s="369" t="s">
        <v>1143</v>
      </c>
      <c r="DM228" s="369" t="s">
        <v>1144</v>
      </c>
      <c r="DN228" s="369" t="s">
        <v>1145</v>
      </c>
      <c r="DO228" s="462" t="s">
        <v>1146</v>
      </c>
      <c r="DQ228" s="58" t="s">
        <v>231</v>
      </c>
      <c r="EF228" s="3"/>
    </row>
    <row r="229" spans="13:121" ht="19.5" customHeight="1">
      <c r="M229" s="58" t="s">
        <v>231</v>
      </c>
      <c r="W229" s="55" t="s">
        <v>1</v>
      </c>
      <c r="Z229" s="55" t="s">
        <v>267</v>
      </c>
      <c r="AB229" s="65">
        <f aca="true" t="shared" si="179" ref="AB229:BP229">IF($BU$99=0,0,IF(AB$128=0,0,1))</f>
        <v>0</v>
      </c>
      <c r="AC229" s="65">
        <f t="shared" si="179"/>
        <v>0</v>
      </c>
      <c r="AD229" s="65">
        <f t="shared" si="179"/>
        <v>0</v>
      </c>
      <c r="AE229" s="65">
        <f t="shared" si="179"/>
        <v>0</v>
      </c>
      <c r="AF229" s="65">
        <f t="shared" si="179"/>
        <v>0</v>
      </c>
      <c r="AG229" s="65">
        <f t="shared" si="179"/>
        <v>0</v>
      </c>
      <c r="AH229" s="65">
        <f t="shared" si="179"/>
        <v>0</v>
      </c>
      <c r="AI229" s="65">
        <f t="shared" si="179"/>
        <v>1</v>
      </c>
      <c r="AJ229" s="65">
        <f t="shared" si="179"/>
        <v>0</v>
      </c>
      <c r="AK229" s="65">
        <f t="shared" si="179"/>
        <v>0</v>
      </c>
      <c r="AL229" s="65">
        <f t="shared" si="179"/>
        <v>0</v>
      </c>
      <c r="AM229" s="65">
        <f t="shared" si="179"/>
        <v>0</v>
      </c>
      <c r="AN229" s="65">
        <f t="shared" si="179"/>
        <v>0</v>
      </c>
      <c r="AO229" s="65">
        <f t="shared" si="179"/>
        <v>0</v>
      </c>
      <c r="AP229" s="65">
        <f t="shared" si="179"/>
        <v>0</v>
      </c>
      <c r="AQ229" s="65">
        <f t="shared" si="179"/>
        <v>0</v>
      </c>
      <c r="AR229" s="65">
        <f t="shared" si="179"/>
        <v>0</v>
      </c>
      <c r="AS229" s="65">
        <f t="shared" si="179"/>
        <v>0</v>
      </c>
      <c r="AT229" s="65">
        <f t="shared" si="179"/>
        <v>0</v>
      </c>
      <c r="AU229" s="65">
        <f t="shared" si="179"/>
        <v>0</v>
      </c>
      <c r="AV229" s="65">
        <f t="shared" si="179"/>
        <v>0</v>
      </c>
      <c r="AW229" s="65">
        <f t="shared" si="179"/>
        <v>0</v>
      </c>
      <c r="AX229" s="65">
        <f t="shared" si="179"/>
        <v>0</v>
      </c>
      <c r="AY229" s="65">
        <f t="shared" si="179"/>
        <v>0</v>
      </c>
      <c r="AZ229" s="65">
        <f t="shared" si="179"/>
        <v>0</v>
      </c>
      <c r="BA229" s="65">
        <f t="shared" si="179"/>
        <v>0</v>
      </c>
      <c r="BB229" s="65">
        <f t="shared" si="179"/>
        <v>0</v>
      </c>
      <c r="BC229" s="65">
        <f t="shared" si="179"/>
        <v>0</v>
      </c>
      <c r="BD229" s="65">
        <f t="shared" si="179"/>
        <v>0</v>
      </c>
      <c r="BE229" s="65">
        <f t="shared" si="179"/>
        <v>0</v>
      </c>
      <c r="BF229" s="65">
        <f t="shared" si="179"/>
        <v>0</v>
      </c>
      <c r="BG229" s="65">
        <f t="shared" si="179"/>
        <v>0</v>
      </c>
      <c r="BH229" s="65">
        <f t="shared" si="179"/>
        <v>0</v>
      </c>
      <c r="BI229" s="65">
        <f t="shared" si="179"/>
        <v>0</v>
      </c>
      <c r="BJ229" s="65">
        <f t="shared" si="179"/>
        <v>0</v>
      </c>
      <c r="BK229" s="65">
        <f t="shared" si="179"/>
        <v>0</v>
      </c>
      <c r="BL229" s="65">
        <f t="shared" si="179"/>
        <v>0</v>
      </c>
      <c r="BM229" s="65">
        <f t="shared" si="179"/>
        <v>0</v>
      </c>
      <c r="BN229" s="65">
        <f t="shared" si="179"/>
        <v>0</v>
      </c>
      <c r="BO229" s="65">
        <f t="shared" si="179"/>
        <v>0</v>
      </c>
      <c r="BP229" s="65">
        <f t="shared" si="179"/>
        <v>0</v>
      </c>
      <c r="BQ229" s="7"/>
      <c r="CI229" s="55" t="s">
        <v>1</v>
      </c>
      <c r="DJ229" s="369" t="s">
        <v>1147</v>
      </c>
      <c r="DK229" s="463" t="s">
        <v>1148</v>
      </c>
      <c r="DL229" s="369" t="s">
        <v>1143</v>
      </c>
      <c r="DM229" s="369" t="s">
        <v>1144</v>
      </c>
      <c r="DN229" s="369" t="s">
        <v>1145</v>
      </c>
      <c r="DO229" s="462" t="s">
        <v>1146</v>
      </c>
      <c r="DQ229" s="58" t="s">
        <v>231</v>
      </c>
    </row>
    <row r="230" spans="13:136" ht="19.5" customHeight="1">
      <c r="M230" s="58" t="s">
        <v>231</v>
      </c>
      <c r="W230" s="55" t="s">
        <v>1</v>
      </c>
      <c r="AB230" s="65">
        <f aca="true" t="shared" si="180" ref="AB230:BP230">IF($BU$100=0,0,IF(AB$128=0,0,1))</f>
        <v>0</v>
      </c>
      <c r="AC230" s="65">
        <f t="shared" si="180"/>
        <v>0</v>
      </c>
      <c r="AD230" s="65">
        <f t="shared" si="180"/>
        <v>0</v>
      </c>
      <c r="AE230" s="65">
        <f t="shared" si="180"/>
        <v>0</v>
      </c>
      <c r="AF230" s="65">
        <f t="shared" si="180"/>
        <v>0</v>
      </c>
      <c r="AG230" s="65">
        <f t="shared" si="180"/>
        <v>0</v>
      </c>
      <c r="AH230" s="65">
        <f t="shared" si="180"/>
        <v>0</v>
      </c>
      <c r="AI230" s="65">
        <f t="shared" si="180"/>
        <v>0</v>
      </c>
      <c r="AJ230" s="65">
        <f t="shared" si="180"/>
        <v>0</v>
      </c>
      <c r="AK230" s="65">
        <f t="shared" si="180"/>
        <v>0</v>
      </c>
      <c r="AL230" s="65">
        <f t="shared" si="180"/>
        <v>0</v>
      </c>
      <c r="AM230" s="65">
        <f t="shared" si="180"/>
        <v>0</v>
      </c>
      <c r="AN230" s="65">
        <f t="shared" si="180"/>
        <v>0</v>
      </c>
      <c r="AO230" s="65">
        <f t="shared" si="180"/>
        <v>0</v>
      </c>
      <c r="AP230" s="65">
        <f t="shared" si="180"/>
        <v>0</v>
      </c>
      <c r="AQ230" s="65">
        <f t="shared" si="180"/>
        <v>0</v>
      </c>
      <c r="AR230" s="65">
        <f t="shared" si="180"/>
        <v>0</v>
      </c>
      <c r="AS230" s="65">
        <f t="shared" si="180"/>
        <v>0</v>
      </c>
      <c r="AT230" s="65">
        <f t="shared" si="180"/>
        <v>0</v>
      </c>
      <c r="AU230" s="65">
        <f t="shared" si="180"/>
        <v>0</v>
      </c>
      <c r="AV230" s="65">
        <f t="shared" si="180"/>
        <v>0</v>
      </c>
      <c r="AW230" s="65">
        <f t="shared" si="180"/>
        <v>0</v>
      </c>
      <c r="AX230" s="65">
        <f t="shared" si="180"/>
        <v>0</v>
      </c>
      <c r="AY230" s="65">
        <f t="shared" si="180"/>
        <v>0</v>
      </c>
      <c r="AZ230" s="65">
        <f t="shared" si="180"/>
        <v>0</v>
      </c>
      <c r="BA230" s="65">
        <f t="shared" si="180"/>
        <v>0</v>
      </c>
      <c r="BB230" s="65">
        <f t="shared" si="180"/>
        <v>0</v>
      </c>
      <c r="BC230" s="65">
        <f t="shared" si="180"/>
        <v>0</v>
      </c>
      <c r="BD230" s="65">
        <f t="shared" si="180"/>
        <v>0</v>
      </c>
      <c r="BE230" s="65">
        <f t="shared" si="180"/>
        <v>0</v>
      </c>
      <c r="BF230" s="65">
        <f t="shared" si="180"/>
        <v>0</v>
      </c>
      <c r="BG230" s="65">
        <f t="shared" si="180"/>
        <v>0</v>
      </c>
      <c r="BH230" s="65">
        <f t="shared" si="180"/>
        <v>0</v>
      </c>
      <c r="BI230" s="65">
        <f t="shared" si="180"/>
        <v>0</v>
      </c>
      <c r="BJ230" s="65">
        <f t="shared" si="180"/>
        <v>0</v>
      </c>
      <c r="BK230" s="65">
        <f t="shared" si="180"/>
        <v>0</v>
      </c>
      <c r="BL230" s="65">
        <f t="shared" si="180"/>
        <v>0</v>
      </c>
      <c r="BM230" s="65">
        <f t="shared" si="180"/>
        <v>0</v>
      </c>
      <c r="BN230" s="65">
        <f t="shared" si="180"/>
        <v>0</v>
      </c>
      <c r="BO230" s="65">
        <f t="shared" si="180"/>
        <v>0</v>
      </c>
      <c r="BP230" s="65">
        <f t="shared" si="180"/>
        <v>0</v>
      </c>
      <c r="CI230" s="55" t="s">
        <v>1</v>
      </c>
      <c r="DJ230" s="369" t="s">
        <v>1149</v>
      </c>
      <c r="DK230" s="461" t="s">
        <v>1150</v>
      </c>
      <c r="DL230" s="369" t="s">
        <v>1143</v>
      </c>
      <c r="DM230" s="369" t="s">
        <v>1144</v>
      </c>
      <c r="DN230" s="369" t="s">
        <v>1145</v>
      </c>
      <c r="DO230" s="462" t="s">
        <v>1146</v>
      </c>
      <c r="DQ230" s="58" t="s">
        <v>231</v>
      </c>
      <c r="EF230" s="3"/>
    </row>
    <row r="231" spans="13:136" ht="19.5" customHeight="1">
      <c r="M231" s="58" t="s">
        <v>231</v>
      </c>
      <c r="W231" s="55" t="s">
        <v>1</v>
      </c>
      <c r="Z231" s="55" t="s">
        <v>268</v>
      </c>
      <c r="AB231" s="65">
        <f aca="true" t="shared" si="181" ref="AB231:BP231">IF($BU$101=0,0,IF(AB$128=0,0,1))</f>
        <v>0</v>
      </c>
      <c r="AC231" s="65">
        <f t="shared" si="181"/>
        <v>0</v>
      </c>
      <c r="AD231" s="65">
        <f t="shared" si="181"/>
        <v>0</v>
      </c>
      <c r="AE231" s="65">
        <f t="shared" si="181"/>
        <v>0</v>
      </c>
      <c r="AF231" s="65">
        <f t="shared" si="181"/>
        <v>0</v>
      </c>
      <c r="AG231" s="65">
        <f t="shared" si="181"/>
        <v>0</v>
      </c>
      <c r="AH231" s="65">
        <f t="shared" si="181"/>
        <v>0</v>
      </c>
      <c r="AI231" s="65">
        <f t="shared" si="181"/>
        <v>0</v>
      </c>
      <c r="AJ231" s="65">
        <f t="shared" si="181"/>
        <v>0</v>
      </c>
      <c r="AK231" s="65">
        <f t="shared" si="181"/>
        <v>0</v>
      </c>
      <c r="AL231" s="65">
        <f t="shared" si="181"/>
        <v>0</v>
      </c>
      <c r="AM231" s="65">
        <f t="shared" si="181"/>
        <v>0</v>
      </c>
      <c r="AN231" s="65">
        <f t="shared" si="181"/>
        <v>0</v>
      </c>
      <c r="AO231" s="65">
        <f t="shared" si="181"/>
        <v>0</v>
      </c>
      <c r="AP231" s="65">
        <f t="shared" si="181"/>
        <v>0</v>
      </c>
      <c r="AQ231" s="65">
        <f t="shared" si="181"/>
        <v>0</v>
      </c>
      <c r="AR231" s="65">
        <f t="shared" si="181"/>
        <v>0</v>
      </c>
      <c r="AS231" s="65">
        <f t="shared" si="181"/>
        <v>0</v>
      </c>
      <c r="AT231" s="65">
        <f t="shared" si="181"/>
        <v>0</v>
      </c>
      <c r="AU231" s="65">
        <f t="shared" si="181"/>
        <v>0</v>
      </c>
      <c r="AV231" s="65">
        <f t="shared" si="181"/>
        <v>0</v>
      </c>
      <c r="AW231" s="65">
        <f t="shared" si="181"/>
        <v>0</v>
      </c>
      <c r="AX231" s="65">
        <f t="shared" si="181"/>
        <v>0</v>
      </c>
      <c r="AY231" s="65">
        <f t="shared" si="181"/>
        <v>0</v>
      </c>
      <c r="AZ231" s="65">
        <f t="shared" si="181"/>
        <v>0</v>
      </c>
      <c r="BA231" s="65">
        <f t="shared" si="181"/>
        <v>0</v>
      </c>
      <c r="BB231" s="65">
        <f t="shared" si="181"/>
        <v>0</v>
      </c>
      <c r="BC231" s="65">
        <f t="shared" si="181"/>
        <v>0</v>
      </c>
      <c r="BD231" s="65">
        <f t="shared" si="181"/>
        <v>0</v>
      </c>
      <c r="BE231" s="65">
        <f t="shared" si="181"/>
        <v>0</v>
      </c>
      <c r="BF231" s="65">
        <f t="shared" si="181"/>
        <v>0</v>
      </c>
      <c r="BG231" s="65">
        <f t="shared" si="181"/>
        <v>0</v>
      </c>
      <c r="BH231" s="65">
        <f t="shared" si="181"/>
        <v>0</v>
      </c>
      <c r="BI231" s="65">
        <f t="shared" si="181"/>
        <v>0</v>
      </c>
      <c r="BJ231" s="65">
        <f t="shared" si="181"/>
        <v>0</v>
      </c>
      <c r="BK231" s="65">
        <f t="shared" si="181"/>
        <v>0</v>
      </c>
      <c r="BL231" s="65">
        <f t="shared" si="181"/>
        <v>0</v>
      </c>
      <c r="BM231" s="65">
        <f t="shared" si="181"/>
        <v>0</v>
      </c>
      <c r="BN231" s="65">
        <f t="shared" si="181"/>
        <v>0</v>
      </c>
      <c r="BO231" s="65">
        <f t="shared" si="181"/>
        <v>0</v>
      </c>
      <c r="BP231" s="65">
        <f t="shared" si="181"/>
        <v>0</v>
      </c>
      <c r="CI231" s="55" t="s">
        <v>1</v>
      </c>
      <c r="DJ231" s="369" t="s">
        <v>1151</v>
      </c>
      <c r="DK231" s="461" t="s">
        <v>1152</v>
      </c>
      <c r="DL231" s="369" t="s">
        <v>1143</v>
      </c>
      <c r="DM231" s="369" t="s">
        <v>1144</v>
      </c>
      <c r="DN231" s="369" t="s">
        <v>1145</v>
      </c>
      <c r="DO231" s="462" t="s">
        <v>1146</v>
      </c>
      <c r="DQ231" s="58" t="s">
        <v>231</v>
      </c>
      <c r="EF231" s="3"/>
    </row>
    <row r="232" spans="13:121" ht="19.5" customHeight="1">
      <c r="M232" s="58" t="s">
        <v>231</v>
      </c>
      <c r="W232" s="55" t="s">
        <v>1</v>
      </c>
      <c r="AB232" s="65">
        <f aca="true" t="shared" si="182" ref="AB232:BP232">IF($BU$102=0,0,IF(AB$128=0,0,1))</f>
        <v>0</v>
      </c>
      <c r="AC232" s="65">
        <f t="shared" si="182"/>
        <v>0</v>
      </c>
      <c r="AD232" s="65">
        <f t="shared" si="182"/>
        <v>0</v>
      </c>
      <c r="AE232" s="65">
        <f t="shared" si="182"/>
        <v>0</v>
      </c>
      <c r="AF232" s="65">
        <f t="shared" si="182"/>
        <v>0</v>
      </c>
      <c r="AG232" s="65">
        <f t="shared" si="182"/>
        <v>0</v>
      </c>
      <c r="AH232" s="65">
        <f t="shared" si="182"/>
        <v>0</v>
      </c>
      <c r="AI232" s="65">
        <f t="shared" si="182"/>
        <v>0</v>
      </c>
      <c r="AJ232" s="65">
        <f t="shared" si="182"/>
        <v>0</v>
      </c>
      <c r="AK232" s="65">
        <f t="shared" si="182"/>
        <v>0</v>
      </c>
      <c r="AL232" s="65">
        <f t="shared" si="182"/>
        <v>0</v>
      </c>
      <c r="AM232" s="65">
        <f t="shared" si="182"/>
        <v>0</v>
      </c>
      <c r="AN232" s="65">
        <f t="shared" si="182"/>
        <v>0</v>
      </c>
      <c r="AO232" s="65">
        <f t="shared" si="182"/>
        <v>0</v>
      </c>
      <c r="AP232" s="65">
        <f t="shared" si="182"/>
        <v>0</v>
      </c>
      <c r="AQ232" s="65">
        <f t="shared" si="182"/>
        <v>0</v>
      </c>
      <c r="AR232" s="65">
        <f t="shared" si="182"/>
        <v>0</v>
      </c>
      <c r="AS232" s="65">
        <f t="shared" si="182"/>
        <v>0</v>
      </c>
      <c r="AT232" s="65">
        <f t="shared" si="182"/>
        <v>0</v>
      </c>
      <c r="AU232" s="65">
        <f t="shared" si="182"/>
        <v>0</v>
      </c>
      <c r="AV232" s="65">
        <f t="shared" si="182"/>
        <v>0</v>
      </c>
      <c r="AW232" s="65">
        <f t="shared" si="182"/>
        <v>0</v>
      </c>
      <c r="AX232" s="65">
        <f t="shared" si="182"/>
        <v>0</v>
      </c>
      <c r="AY232" s="65">
        <f t="shared" si="182"/>
        <v>0</v>
      </c>
      <c r="AZ232" s="65">
        <f t="shared" si="182"/>
        <v>0</v>
      </c>
      <c r="BA232" s="65">
        <f t="shared" si="182"/>
        <v>0</v>
      </c>
      <c r="BB232" s="65">
        <f t="shared" si="182"/>
        <v>0</v>
      </c>
      <c r="BC232" s="65">
        <f t="shared" si="182"/>
        <v>0</v>
      </c>
      <c r="BD232" s="65">
        <f t="shared" si="182"/>
        <v>0</v>
      </c>
      <c r="BE232" s="65">
        <f t="shared" si="182"/>
        <v>0</v>
      </c>
      <c r="BF232" s="65">
        <f t="shared" si="182"/>
        <v>0</v>
      </c>
      <c r="BG232" s="65">
        <f t="shared" si="182"/>
        <v>0</v>
      </c>
      <c r="BH232" s="65">
        <f t="shared" si="182"/>
        <v>0</v>
      </c>
      <c r="BI232" s="65">
        <f t="shared" si="182"/>
        <v>0</v>
      </c>
      <c r="BJ232" s="65">
        <f t="shared" si="182"/>
        <v>0</v>
      </c>
      <c r="BK232" s="65">
        <f t="shared" si="182"/>
        <v>0</v>
      </c>
      <c r="BL232" s="65">
        <f t="shared" si="182"/>
        <v>0</v>
      </c>
      <c r="BM232" s="65">
        <f t="shared" si="182"/>
        <v>0</v>
      </c>
      <c r="BN232" s="65">
        <f t="shared" si="182"/>
        <v>0</v>
      </c>
      <c r="BO232" s="65">
        <f t="shared" si="182"/>
        <v>0</v>
      </c>
      <c r="BP232" s="65">
        <f t="shared" si="182"/>
        <v>0</v>
      </c>
      <c r="CI232" s="55" t="s">
        <v>1</v>
      </c>
      <c r="DJ232" s="369" t="s">
        <v>1153</v>
      </c>
      <c r="DK232" s="463" t="s">
        <v>1154</v>
      </c>
      <c r="DL232" s="369" t="s">
        <v>1143</v>
      </c>
      <c r="DM232" s="369" t="s">
        <v>1144</v>
      </c>
      <c r="DN232" s="369" t="s">
        <v>1145</v>
      </c>
      <c r="DO232" s="462" t="s">
        <v>1146</v>
      </c>
      <c r="DQ232" s="58" t="s">
        <v>231</v>
      </c>
    </row>
    <row r="233" spans="13:121" ht="19.5" customHeight="1">
      <c r="M233" s="58" t="s">
        <v>231</v>
      </c>
      <c r="W233" s="55" t="s">
        <v>1</v>
      </c>
      <c r="Z233" s="55" t="s">
        <v>269</v>
      </c>
      <c r="AB233" s="65">
        <f aca="true" t="shared" si="183" ref="AB233:BP233">IF($BU$103=0,0,IF(AB$128=0,0,1))</f>
        <v>0</v>
      </c>
      <c r="AC233" s="65">
        <f t="shared" si="183"/>
        <v>0</v>
      </c>
      <c r="AD233" s="65">
        <f t="shared" si="183"/>
        <v>0</v>
      </c>
      <c r="AE233" s="65">
        <f t="shared" si="183"/>
        <v>0</v>
      </c>
      <c r="AF233" s="65">
        <f t="shared" si="183"/>
        <v>0</v>
      </c>
      <c r="AG233" s="65">
        <f t="shared" si="183"/>
        <v>0</v>
      </c>
      <c r="AH233" s="65">
        <f t="shared" si="183"/>
        <v>0</v>
      </c>
      <c r="AI233" s="65">
        <f t="shared" si="183"/>
        <v>0</v>
      </c>
      <c r="AJ233" s="65">
        <f t="shared" si="183"/>
        <v>0</v>
      </c>
      <c r="AK233" s="65">
        <f t="shared" si="183"/>
        <v>0</v>
      </c>
      <c r="AL233" s="65">
        <f t="shared" si="183"/>
        <v>0</v>
      </c>
      <c r="AM233" s="65">
        <f t="shared" si="183"/>
        <v>0</v>
      </c>
      <c r="AN233" s="65">
        <f t="shared" si="183"/>
        <v>0</v>
      </c>
      <c r="AO233" s="65">
        <f t="shared" si="183"/>
        <v>0</v>
      </c>
      <c r="AP233" s="65">
        <f t="shared" si="183"/>
        <v>0</v>
      </c>
      <c r="AQ233" s="65">
        <f t="shared" si="183"/>
        <v>0</v>
      </c>
      <c r="AR233" s="65">
        <f t="shared" si="183"/>
        <v>0</v>
      </c>
      <c r="AS233" s="65">
        <f t="shared" si="183"/>
        <v>0</v>
      </c>
      <c r="AT233" s="65">
        <f t="shared" si="183"/>
        <v>0</v>
      </c>
      <c r="AU233" s="65">
        <f t="shared" si="183"/>
        <v>0</v>
      </c>
      <c r="AV233" s="65">
        <f t="shared" si="183"/>
        <v>0</v>
      </c>
      <c r="AW233" s="65">
        <f t="shared" si="183"/>
        <v>0</v>
      </c>
      <c r="AX233" s="65">
        <f t="shared" si="183"/>
        <v>0</v>
      </c>
      <c r="AY233" s="65">
        <f t="shared" si="183"/>
        <v>0</v>
      </c>
      <c r="AZ233" s="65">
        <f t="shared" si="183"/>
        <v>0</v>
      </c>
      <c r="BA233" s="65">
        <f t="shared" si="183"/>
        <v>0</v>
      </c>
      <c r="BB233" s="65">
        <f t="shared" si="183"/>
        <v>0</v>
      </c>
      <c r="BC233" s="65">
        <f t="shared" si="183"/>
        <v>0</v>
      </c>
      <c r="BD233" s="65">
        <f t="shared" si="183"/>
        <v>0</v>
      </c>
      <c r="BE233" s="65">
        <f t="shared" si="183"/>
        <v>0</v>
      </c>
      <c r="BF233" s="65">
        <f t="shared" si="183"/>
        <v>0</v>
      </c>
      <c r="BG233" s="65">
        <f t="shared" si="183"/>
        <v>0</v>
      </c>
      <c r="BH233" s="65">
        <f t="shared" si="183"/>
        <v>0</v>
      </c>
      <c r="BI233" s="65">
        <f t="shared" si="183"/>
        <v>0</v>
      </c>
      <c r="BJ233" s="65">
        <f t="shared" si="183"/>
        <v>0</v>
      </c>
      <c r="BK233" s="65">
        <f t="shared" si="183"/>
        <v>0</v>
      </c>
      <c r="BL233" s="65">
        <f t="shared" si="183"/>
        <v>0</v>
      </c>
      <c r="BM233" s="65">
        <f t="shared" si="183"/>
        <v>0</v>
      </c>
      <c r="BN233" s="65">
        <f t="shared" si="183"/>
        <v>0</v>
      </c>
      <c r="BO233" s="65">
        <f t="shared" si="183"/>
        <v>0</v>
      </c>
      <c r="BP233" s="65">
        <f t="shared" si="183"/>
        <v>0</v>
      </c>
      <c r="CI233" s="55" t="s">
        <v>1</v>
      </c>
      <c r="DJ233" s="369" t="s">
        <v>1155</v>
      </c>
      <c r="DK233" s="461" t="s">
        <v>1156</v>
      </c>
      <c r="DL233" s="369" t="s">
        <v>1143</v>
      </c>
      <c r="DM233" s="369" t="s">
        <v>1144</v>
      </c>
      <c r="DN233" s="369" t="s">
        <v>1145</v>
      </c>
      <c r="DO233" s="462" t="s">
        <v>1146</v>
      </c>
      <c r="DQ233" s="58" t="s">
        <v>231</v>
      </c>
    </row>
    <row r="234" spans="13:121" ht="19.5" customHeight="1">
      <c r="M234" s="58"/>
      <c r="W234" s="55" t="s">
        <v>1</v>
      </c>
      <c r="AB234" s="65">
        <f aca="true" t="shared" si="184" ref="AB234:BP234">IF($BU$104=0,0,IF(AB$128=0,0,1))</f>
        <v>0</v>
      </c>
      <c r="AC234" s="65">
        <f t="shared" si="184"/>
        <v>0</v>
      </c>
      <c r="AD234" s="65">
        <f t="shared" si="184"/>
        <v>0</v>
      </c>
      <c r="AE234" s="65">
        <f t="shared" si="184"/>
        <v>0</v>
      </c>
      <c r="AF234" s="65">
        <f t="shared" si="184"/>
        <v>0</v>
      </c>
      <c r="AG234" s="65">
        <f t="shared" si="184"/>
        <v>0</v>
      </c>
      <c r="AH234" s="65">
        <f t="shared" si="184"/>
        <v>0</v>
      </c>
      <c r="AI234" s="65">
        <f t="shared" si="184"/>
        <v>0</v>
      </c>
      <c r="AJ234" s="65">
        <f t="shared" si="184"/>
        <v>0</v>
      </c>
      <c r="AK234" s="65">
        <f t="shared" si="184"/>
        <v>0</v>
      </c>
      <c r="AL234" s="65">
        <f t="shared" si="184"/>
        <v>0</v>
      </c>
      <c r="AM234" s="65">
        <f t="shared" si="184"/>
        <v>0</v>
      </c>
      <c r="AN234" s="65">
        <f t="shared" si="184"/>
        <v>0</v>
      </c>
      <c r="AO234" s="65">
        <f t="shared" si="184"/>
        <v>0</v>
      </c>
      <c r="AP234" s="65">
        <f t="shared" si="184"/>
        <v>0</v>
      </c>
      <c r="AQ234" s="65">
        <f t="shared" si="184"/>
        <v>0</v>
      </c>
      <c r="AR234" s="65">
        <f t="shared" si="184"/>
        <v>0</v>
      </c>
      <c r="AS234" s="65">
        <f t="shared" si="184"/>
        <v>0</v>
      </c>
      <c r="AT234" s="65">
        <f t="shared" si="184"/>
        <v>0</v>
      </c>
      <c r="AU234" s="65">
        <f t="shared" si="184"/>
        <v>0</v>
      </c>
      <c r="AV234" s="65">
        <f t="shared" si="184"/>
        <v>0</v>
      </c>
      <c r="AW234" s="65">
        <f t="shared" si="184"/>
        <v>0</v>
      </c>
      <c r="AX234" s="65">
        <f t="shared" si="184"/>
        <v>0</v>
      </c>
      <c r="AY234" s="65">
        <f t="shared" si="184"/>
        <v>0</v>
      </c>
      <c r="AZ234" s="65">
        <f t="shared" si="184"/>
        <v>0</v>
      </c>
      <c r="BA234" s="65">
        <f t="shared" si="184"/>
        <v>0</v>
      </c>
      <c r="BB234" s="65">
        <f t="shared" si="184"/>
        <v>0</v>
      </c>
      <c r="BC234" s="65">
        <f t="shared" si="184"/>
        <v>0</v>
      </c>
      <c r="BD234" s="65">
        <f t="shared" si="184"/>
        <v>0</v>
      </c>
      <c r="BE234" s="65">
        <f t="shared" si="184"/>
        <v>0</v>
      </c>
      <c r="BF234" s="65">
        <f t="shared" si="184"/>
        <v>0</v>
      </c>
      <c r="BG234" s="65">
        <f t="shared" si="184"/>
        <v>0</v>
      </c>
      <c r="BH234" s="65">
        <f t="shared" si="184"/>
        <v>0</v>
      </c>
      <c r="BI234" s="65">
        <f t="shared" si="184"/>
        <v>0</v>
      </c>
      <c r="BJ234" s="65">
        <f t="shared" si="184"/>
        <v>0</v>
      </c>
      <c r="BK234" s="65">
        <f t="shared" si="184"/>
        <v>0</v>
      </c>
      <c r="BL234" s="65">
        <f t="shared" si="184"/>
        <v>0</v>
      </c>
      <c r="BM234" s="65">
        <f t="shared" si="184"/>
        <v>0</v>
      </c>
      <c r="BN234" s="65">
        <f t="shared" si="184"/>
        <v>0</v>
      </c>
      <c r="BO234" s="65">
        <f t="shared" si="184"/>
        <v>0</v>
      </c>
      <c r="BP234" s="65">
        <f t="shared" si="184"/>
        <v>0</v>
      </c>
      <c r="CI234" s="55" t="s">
        <v>1</v>
      </c>
      <c r="DB234" s="7"/>
      <c r="DC234" s="7"/>
      <c r="DJ234" s="369" t="s">
        <v>1157</v>
      </c>
      <c r="DK234" s="461" t="s">
        <v>1158</v>
      </c>
      <c r="DL234" s="369" t="s">
        <v>1067</v>
      </c>
      <c r="DM234" s="369" t="s">
        <v>1067</v>
      </c>
      <c r="DN234" s="369" t="s">
        <v>1159</v>
      </c>
      <c r="DO234" s="462" t="s">
        <v>1160</v>
      </c>
      <c r="DQ234" s="58" t="s">
        <v>231</v>
      </c>
    </row>
    <row r="235" spans="13:121" ht="19.5" customHeight="1">
      <c r="M235" s="58"/>
      <c r="W235" s="55" t="s">
        <v>1</v>
      </c>
      <c r="Z235" s="55" t="s">
        <v>270</v>
      </c>
      <c r="AB235" s="65">
        <f aca="true" t="shared" si="185" ref="AB235:BP235">IF($BU$105=0,0,IF(AB$128=0,0,1))</f>
        <v>0</v>
      </c>
      <c r="AC235" s="65">
        <f t="shared" si="185"/>
        <v>0</v>
      </c>
      <c r="AD235" s="65">
        <f t="shared" si="185"/>
        <v>0</v>
      </c>
      <c r="AE235" s="65">
        <f t="shared" si="185"/>
        <v>0</v>
      </c>
      <c r="AF235" s="65">
        <f t="shared" si="185"/>
        <v>0</v>
      </c>
      <c r="AG235" s="65">
        <f t="shared" si="185"/>
        <v>0</v>
      </c>
      <c r="AH235" s="65">
        <f t="shared" si="185"/>
        <v>0</v>
      </c>
      <c r="AI235" s="65">
        <f t="shared" si="185"/>
        <v>0</v>
      </c>
      <c r="AJ235" s="65">
        <f t="shared" si="185"/>
        <v>0</v>
      </c>
      <c r="AK235" s="65">
        <f t="shared" si="185"/>
        <v>0</v>
      </c>
      <c r="AL235" s="65">
        <f t="shared" si="185"/>
        <v>0</v>
      </c>
      <c r="AM235" s="65">
        <f t="shared" si="185"/>
        <v>0</v>
      </c>
      <c r="AN235" s="65">
        <f t="shared" si="185"/>
        <v>0</v>
      </c>
      <c r="AO235" s="65">
        <f t="shared" si="185"/>
        <v>0</v>
      </c>
      <c r="AP235" s="65">
        <f t="shared" si="185"/>
        <v>0</v>
      </c>
      <c r="AQ235" s="65">
        <f t="shared" si="185"/>
        <v>0</v>
      </c>
      <c r="AR235" s="65">
        <f t="shared" si="185"/>
        <v>0</v>
      </c>
      <c r="AS235" s="65">
        <f t="shared" si="185"/>
        <v>0</v>
      </c>
      <c r="AT235" s="65">
        <f t="shared" si="185"/>
        <v>0</v>
      </c>
      <c r="AU235" s="65">
        <f t="shared" si="185"/>
        <v>0</v>
      </c>
      <c r="AV235" s="65">
        <f t="shared" si="185"/>
        <v>0</v>
      </c>
      <c r="AW235" s="65">
        <f t="shared" si="185"/>
        <v>0</v>
      </c>
      <c r="AX235" s="65">
        <f t="shared" si="185"/>
        <v>0</v>
      </c>
      <c r="AY235" s="65">
        <f t="shared" si="185"/>
        <v>0</v>
      </c>
      <c r="AZ235" s="65">
        <f t="shared" si="185"/>
        <v>0</v>
      </c>
      <c r="BA235" s="65">
        <f t="shared" si="185"/>
        <v>0</v>
      </c>
      <c r="BB235" s="65">
        <f t="shared" si="185"/>
        <v>0</v>
      </c>
      <c r="BC235" s="65">
        <f t="shared" si="185"/>
        <v>0</v>
      </c>
      <c r="BD235" s="65">
        <f t="shared" si="185"/>
        <v>0</v>
      </c>
      <c r="BE235" s="65">
        <f t="shared" si="185"/>
        <v>0</v>
      </c>
      <c r="BF235" s="65">
        <f t="shared" si="185"/>
        <v>0</v>
      </c>
      <c r="BG235" s="65">
        <f t="shared" si="185"/>
        <v>0</v>
      </c>
      <c r="BH235" s="65">
        <f t="shared" si="185"/>
        <v>0</v>
      </c>
      <c r="BI235" s="65">
        <f t="shared" si="185"/>
        <v>0</v>
      </c>
      <c r="BJ235" s="65">
        <f t="shared" si="185"/>
        <v>0</v>
      </c>
      <c r="BK235" s="65">
        <f t="shared" si="185"/>
        <v>0</v>
      </c>
      <c r="BL235" s="65">
        <f t="shared" si="185"/>
        <v>0</v>
      </c>
      <c r="BM235" s="65">
        <f t="shared" si="185"/>
        <v>0</v>
      </c>
      <c r="BN235" s="65">
        <f t="shared" si="185"/>
        <v>0</v>
      </c>
      <c r="BO235" s="65">
        <f t="shared" si="185"/>
        <v>0</v>
      </c>
      <c r="BP235" s="65">
        <f t="shared" si="185"/>
        <v>0</v>
      </c>
      <c r="CI235" s="55" t="s">
        <v>1</v>
      </c>
      <c r="DJ235" s="369" t="s">
        <v>1161</v>
      </c>
      <c r="DK235" s="461" t="s">
        <v>1162</v>
      </c>
      <c r="DL235" s="369" t="s">
        <v>1163</v>
      </c>
      <c r="DM235" s="369" t="s">
        <v>1163</v>
      </c>
      <c r="DN235" s="369" t="s">
        <v>1164</v>
      </c>
      <c r="DO235" s="462" t="s">
        <v>1165</v>
      </c>
      <c r="DQ235" s="58" t="s">
        <v>231</v>
      </c>
    </row>
    <row r="236" spans="13:121" ht="19.5" customHeight="1">
      <c r="M236" s="58"/>
      <c r="W236" s="55" t="s">
        <v>1</v>
      </c>
      <c r="AB236" s="65">
        <f aca="true" t="shared" si="186" ref="AB236:BP236">IF($BU$106=0,0,IF(AB$128=0,0,1))</f>
        <v>0</v>
      </c>
      <c r="AC236" s="65">
        <f t="shared" si="186"/>
        <v>0</v>
      </c>
      <c r="AD236" s="65">
        <f t="shared" si="186"/>
        <v>0</v>
      </c>
      <c r="AE236" s="65">
        <f t="shared" si="186"/>
        <v>0</v>
      </c>
      <c r="AF236" s="65">
        <f t="shared" si="186"/>
        <v>0</v>
      </c>
      <c r="AG236" s="65">
        <f t="shared" si="186"/>
        <v>0</v>
      </c>
      <c r="AH236" s="65">
        <f t="shared" si="186"/>
        <v>0</v>
      </c>
      <c r="AI236" s="65">
        <f t="shared" si="186"/>
        <v>0</v>
      </c>
      <c r="AJ236" s="65">
        <f t="shared" si="186"/>
        <v>0</v>
      </c>
      <c r="AK236" s="65">
        <f t="shared" si="186"/>
        <v>0</v>
      </c>
      <c r="AL236" s="65">
        <f t="shared" si="186"/>
        <v>0</v>
      </c>
      <c r="AM236" s="65">
        <f t="shared" si="186"/>
        <v>0</v>
      </c>
      <c r="AN236" s="65">
        <f t="shared" si="186"/>
        <v>0</v>
      </c>
      <c r="AO236" s="65">
        <f t="shared" si="186"/>
        <v>0</v>
      </c>
      <c r="AP236" s="65">
        <f t="shared" si="186"/>
        <v>0</v>
      </c>
      <c r="AQ236" s="65">
        <f t="shared" si="186"/>
        <v>0</v>
      </c>
      <c r="AR236" s="65">
        <f t="shared" si="186"/>
        <v>0</v>
      </c>
      <c r="AS236" s="65">
        <f t="shared" si="186"/>
        <v>0</v>
      </c>
      <c r="AT236" s="65">
        <f t="shared" si="186"/>
        <v>0</v>
      </c>
      <c r="AU236" s="65">
        <f t="shared" si="186"/>
        <v>0</v>
      </c>
      <c r="AV236" s="65">
        <f t="shared" si="186"/>
        <v>0</v>
      </c>
      <c r="AW236" s="65">
        <f t="shared" si="186"/>
        <v>0</v>
      </c>
      <c r="AX236" s="65">
        <f t="shared" si="186"/>
        <v>0</v>
      </c>
      <c r="AY236" s="65">
        <f t="shared" si="186"/>
        <v>0</v>
      </c>
      <c r="AZ236" s="65">
        <f t="shared" si="186"/>
        <v>0</v>
      </c>
      <c r="BA236" s="65">
        <f t="shared" si="186"/>
        <v>0</v>
      </c>
      <c r="BB236" s="65">
        <f t="shared" si="186"/>
        <v>0</v>
      </c>
      <c r="BC236" s="65">
        <f t="shared" si="186"/>
        <v>0</v>
      </c>
      <c r="BD236" s="65">
        <f t="shared" si="186"/>
        <v>0</v>
      </c>
      <c r="BE236" s="65">
        <f t="shared" si="186"/>
        <v>0</v>
      </c>
      <c r="BF236" s="65">
        <f t="shared" si="186"/>
        <v>0</v>
      </c>
      <c r="BG236" s="65">
        <f t="shared" si="186"/>
        <v>0</v>
      </c>
      <c r="BH236" s="65">
        <f t="shared" si="186"/>
        <v>0</v>
      </c>
      <c r="BI236" s="65">
        <f t="shared" si="186"/>
        <v>0</v>
      </c>
      <c r="BJ236" s="65">
        <f t="shared" si="186"/>
        <v>0</v>
      </c>
      <c r="BK236" s="65">
        <f t="shared" si="186"/>
        <v>0</v>
      </c>
      <c r="BL236" s="65">
        <f t="shared" si="186"/>
        <v>0</v>
      </c>
      <c r="BM236" s="65">
        <f t="shared" si="186"/>
        <v>0</v>
      </c>
      <c r="BN236" s="65">
        <f t="shared" si="186"/>
        <v>0</v>
      </c>
      <c r="BO236" s="65">
        <f t="shared" si="186"/>
        <v>0</v>
      </c>
      <c r="BP236" s="65">
        <f t="shared" si="186"/>
        <v>0</v>
      </c>
      <c r="BQ236" s="7"/>
      <c r="CI236" s="55" t="s">
        <v>1</v>
      </c>
      <c r="DB236" s="7"/>
      <c r="DC236" s="7"/>
      <c r="DJ236" s="369" t="s">
        <v>1166</v>
      </c>
      <c r="DK236" s="461" t="s">
        <v>1167</v>
      </c>
      <c r="DL236" s="369" t="s">
        <v>1163</v>
      </c>
      <c r="DM236" s="369" t="s">
        <v>1163</v>
      </c>
      <c r="DN236" s="369" t="s">
        <v>1164</v>
      </c>
      <c r="DO236" s="462" t="s">
        <v>1165</v>
      </c>
      <c r="DQ236" s="58" t="s">
        <v>231</v>
      </c>
    </row>
    <row r="237" spans="13:121" ht="19.5" customHeight="1">
      <c r="M237" s="58"/>
      <c r="W237" s="55" t="s">
        <v>1</v>
      </c>
      <c r="Z237" s="55" t="s">
        <v>271</v>
      </c>
      <c r="AB237" s="65">
        <f aca="true" t="shared" si="187" ref="AB237:BP237">IF($BU$107=0,0,IF(AB$128=0,0,1))</f>
        <v>0</v>
      </c>
      <c r="AC237" s="65">
        <f t="shared" si="187"/>
        <v>0</v>
      </c>
      <c r="AD237" s="65">
        <f t="shared" si="187"/>
        <v>0</v>
      </c>
      <c r="AE237" s="65">
        <f t="shared" si="187"/>
        <v>0</v>
      </c>
      <c r="AF237" s="65">
        <f t="shared" si="187"/>
        <v>0</v>
      </c>
      <c r="AG237" s="65">
        <f t="shared" si="187"/>
        <v>0</v>
      </c>
      <c r="AH237" s="65">
        <f t="shared" si="187"/>
        <v>0</v>
      </c>
      <c r="AI237" s="65">
        <f t="shared" si="187"/>
        <v>0</v>
      </c>
      <c r="AJ237" s="65">
        <f t="shared" si="187"/>
        <v>0</v>
      </c>
      <c r="AK237" s="65">
        <f t="shared" si="187"/>
        <v>0</v>
      </c>
      <c r="AL237" s="65">
        <f t="shared" si="187"/>
        <v>0</v>
      </c>
      <c r="AM237" s="65">
        <f t="shared" si="187"/>
        <v>0</v>
      </c>
      <c r="AN237" s="65">
        <f t="shared" si="187"/>
        <v>0</v>
      </c>
      <c r="AO237" s="65">
        <f t="shared" si="187"/>
        <v>0</v>
      </c>
      <c r="AP237" s="65">
        <f t="shared" si="187"/>
        <v>0</v>
      </c>
      <c r="AQ237" s="65">
        <f t="shared" si="187"/>
        <v>0</v>
      </c>
      <c r="AR237" s="65">
        <f t="shared" si="187"/>
        <v>0</v>
      </c>
      <c r="AS237" s="65">
        <f t="shared" si="187"/>
        <v>0</v>
      </c>
      <c r="AT237" s="65">
        <f t="shared" si="187"/>
        <v>0</v>
      </c>
      <c r="AU237" s="65">
        <f t="shared" si="187"/>
        <v>0</v>
      </c>
      <c r="AV237" s="65">
        <f t="shared" si="187"/>
        <v>0</v>
      </c>
      <c r="AW237" s="65">
        <f t="shared" si="187"/>
        <v>0</v>
      </c>
      <c r="AX237" s="65">
        <f t="shared" si="187"/>
        <v>0</v>
      </c>
      <c r="AY237" s="65">
        <f t="shared" si="187"/>
        <v>0</v>
      </c>
      <c r="AZ237" s="65">
        <f t="shared" si="187"/>
        <v>0</v>
      </c>
      <c r="BA237" s="65">
        <f t="shared" si="187"/>
        <v>0</v>
      </c>
      <c r="BB237" s="65">
        <f t="shared" si="187"/>
        <v>0</v>
      </c>
      <c r="BC237" s="65">
        <f t="shared" si="187"/>
        <v>0</v>
      </c>
      <c r="BD237" s="65">
        <f t="shared" si="187"/>
        <v>0</v>
      </c>
      <c r="BE237" s="65">
        <f t="shared" si="187"/>
        <v>0</v>
      </c>
      <c r="BF237" s="65">
        <f t="shared" si="187"/>
        <v>0</v>
      </c>
      <c r="BG237" s="65">
        <f t="shared" si="187"/>
        <v>0</v>
      </c>
      <c r="BH237" s="65">
        <f t="shared" si="187"/>
        <v>0</v>
      </c>
      <c r="BI237" s="65">
        <f t="shared" si="187"/>
        <v>0</v>
      </c>
      <c r="BJ237" s="65">
        <f t="shared" si="187"/>
        <v>0</v>
      </c>
      <c r="BK237" s="65">
        <f t="shared" si="187"/>
        <v>0</v>
      </c>
      <c r="BL237" s="65">
        <f t="shared" si="187"/>
        <v>0</v>
      </c>
      <c r="BM237" s="65">
        <f t="shared" si="187"/>
        <v>0</v>
      </c>
      <c r="BN237" s="65">
        <f t="shared" si="187"/>
        <v>0</v>
      </c>
      <c r="BO237" s="65">
        <f t="shared" si="187"/>
        <v>0</v>
      </c>
      <c r="BP237" s="65">
        <f t="shared" si="187"/>
        <v>0</v>
      </c>
      <c r="BQ237" s="7"/>
      <c r="CI237" s="55" t="s">
        <v>1</v>
      </c>
      <c r="DJ237" s="369" t="s">
        <v>1168</v>
      </c>
      <c r="DK237" s="461" t="s">
        <v>1169</v>
      </c>
      <c r="DL237" s="369" t="s">
        <v>1143</v>
      </c>
      <c r="DM237" s="369" t="s">
        <v>1144</v>
      </c>
      <c r="DN237" s="369" t="s">
        <v>1145</v>
      </c>
      <c r="DO237" s="462" t="s">
        <v>1146</v>
      </c>
      <c r="DQ237" s="58" t="s">
        <v>231</v>
      </c>
    </row>
    <row r="238" spans="13:121" ht="19.5" customHeight="1">
      <c r="M238" s="58"/>
      <c r="N238" s="59"/>
      <c r="W238" s="55" t="s">
        <v>1</v>
      </c>
      <c r="AB238" s="65">
        <f aca="true" t="shared" si="188" ref="AB238:BP238">IF($BU$108=0,0,IF(AB$128=0,0,1))</f>
        <v>0</v>
      </c>
      <c r="AC238" s="65">
        <f t="shared" si="188"/>
        <v>0</v>
      </c>
      <c r="AD238" s="65">
        <f t="shared" si="188"/>
        <v>0</v>
      </c>
      <c r="AE238" s="65">
        <f t="shared" si="188"/>
        <v>0</v>
      </c>
      <c r="AF238" s="65">
        <f t="shared" si="188"/>
        <v>0</v>
      </c>
      <c r="AG238" s="65">
        <f t="shared" si="188"/>
        <v>0</v>
      </c>
      <c r="AH238" s="65">
        <f t="shared" si="188"/>
        <v>0</v>
      </c>
      <c r="AI238" s="65">
        <f t="shared" si="188"/>
        <v>0</v>
      </c>
      <c r="AJ238" s="65">
        <f t="shared" si="188"/>
        <v>0</v>
      </c>
      <c r="AK238" s="65">
        <f t="shared" si="188"/>
        <v>0</v>
      </c>
      <c r="AL238" s="65">
        <f t="shared" si="188"/>
        <v>0</v>
      </c>
      <c r="AM238" s="65">
        <f t="shared" si="188"/>
        <v>0</v>
      </c>
      <c r="AN238" s="65">
        <f t="shared" si="188"/>
        <v>0</v>
      </c>
      <c r="AO238" s="65">
        <f t="shared" si="188"/>
        <v>0</v>
      </c>
      <c r="AP238" s="65">
        <f t="shared" si="188"/>
        <v>0</v>
      </c>
      <c r="AQ238" s="65">
        <f t="shared" si="188"/>
        <v>0</v>
      </c>
      <c r="AR238" s="65">
        <f t="shared" si="188"/>
        <v>0</v>
      </c>
      <c r="AS238" s="65">
        <f t="shared" si="188"/>
        <v>0</v>
      </c>
      <c r="AT238" s="65">
        <f t="shared" si="188"/>
        <v>0</v>
      </c>
      <c r="AU238" s="65">
        <f t="shared" si="188"/>
        <v>0</v>
      </c>
      <c r="AV238" s="65">
        <f t="shared" si="188"/>
        <v>0</v>
      </c>
      <c r="AW238" s="65">
        <f t="shared" si="188"/>
        <v>0</v>
      </c>
      <c r="AX238" s="65">
        <f t="shared" si="188"/>
        <v>0</v>
      </c>
      <c r="AY238" s="65">
        <f t="shared" si="188"/>
        <v>0</v>
      </c>
      <c r="AZ238" s="65">
        <f t="shared" si="188"/>
        <v>0</v>
      </c>
      <c r="BA238" s="65">
        <f t="shared" si="188"/>
        <v>0</v>
      </c>
      <c r="BB238" s="65">
        <f t="shared" si="188"/>
        <v>0</v>
      </c>
      <c r="BC238" s="65">
        <f t="shared" si="188"/>
        <v>0</v>
      </c>
      <c r="BD238" s="65">
        <f t="shared" si="188"/>
        <v>0</v>
      </c>
      <c r="BE238" s="65">
        <f t="shared" si="188"/>
        <v>0</v>
      </c>
      <c r="BF238" s="65">
        <f t="shared" si="188"/>
        <v>0</v>
      </c>
      <c r="BG238" s="65">
        <f t="shared" si="188"/>
        <v>0</v>
      </c>
      <c r="BH238" s="65">
        <f t="shared" si="188"/>
        <v>0</v>
      </c>
      <c r="BI238" s="65">
        <f t="shared" si="188"/>
        <v>0</v>
      </c>
      <c r="BJ238" s="65">
        <f t="shared" si="188"/>
        <v>0</v>
      </c>
      <c r="BK238" s="65">
        <f t="shared" si="188"/>
        <v>0</v>
      </c>
      <c r="BL238" s="65">
        <f t="shared" si="188"/>
        <v>0</v>
      </c>
      <c r="BM238" s="65">
        <f t="shared" si="188"/>
        <v>0</v>
      </c>
      <c r="BN238" s="65">
        <f t="shared" si="188"/>
        <v>0</v>
      </c>
      <c r="BO238" s="65">
        <f t="shared" si="188"/>
        <v>0</v>
      </c>
      <c r="BP238" s="65">
        <f t="shared" si="188"/>
        <v>0</v>
      </c>
      <c r="BQ238" s="7"/>
      <c r="CI238" s="55" t="s">
        <v>1</v>
      </c>
      <c r="DJ238" s="369" t="s">
        <v>1170</v>
      </c>
      <c r="DK238" s="463" t="s">
        <v>1171</v>
      </c>
      <c r="DL238" s="369" t="s">
        <v>1067</v>
      </c>
      <c r="DM238" s="369" t="s">
        <v>1172</v>
      </c>
      <c r="DN238" s="369" t="s">
        <v>1173</v>
      </c>
      <c r="DO238" s="462" t="s">
        <v>10</v>
      </c>
      <c r="DQ238" s="58" t="s">
        <v>231</v>
      </c>
    </row>
    <row r="239" spans="13:121" ht="19.5" customHeight="1">
      <c r="M239" s="58"/>
      <c r="W239" s="55" t="s">
        <v>1</v>
      </c>
      <c r="Z239" s="65" t="s">
        <v>272</v>
      </c>
      <c r="AA239" s="65"/>
      <c r="AB239" s="65">
        <f aca="true" t="shared" si="189" ref="AB239:BP239">IF($BU$109=0,0,IF(AB$128=0,0,1))</f>
        <v>0</v>
      </c>
      <c r="AC239" s="65">
        <f t="shared" si="189"/>
        <v>0</v>
      </c>
      <c r="AD239" s="65">
        <f t="shared" si="189"/>
        <v>0</v>
      </c>
      <c r="AE239" s="65">
        <f t="shared" si="189"/>
        <v>0</v>
      </c>
      <c r="AF239" s="65">
        <f t="shared" si="189"/>
        <v>0</v>
      </c>
      <c r="AG239" s="65">
        <f t="shared" si="189"/>
        <v>0</v>
      </c>
      <c r="AH239" s="65">
        <f t="shared" si="189"/>
        <v>0</v>
      </c>
      <c r="AI239" s="65">
        <f t="shared" si="189"/>
        <v>0</v>
      </c>
      <c r="AJ239" s="65">
        <f t="shared" si="189"/>
        <v>0</v>
      </c>
      <c r="AK239" s="65">
        <f t="shared" si="189"/>
        <v>0</v>
      </c>
      <c r="AL239" s="65">
        <f t="shared" si="189"/>
        <v>0</v>
      </c>
      <c r="AM239" s="65">
        <f t="shared" si="189"/>
        <v>0</v>
      </c>
      <c r="AN239" s="65">
        <f t="shared" si="189"/>
        <v>0</v>
      </c>
      <c r="AO239" s="65">
        <f t="shared" si="189"/>
        <v>0</v>
      </c>
      <c r="AP239" s="65">
        <f t="shared" si="189"/>
        <v>0</v>
      </c>
      <c r="AQ239" s="65">
        <f t="shared" si="189"/>
        <v>0</v>
      </c>
      <c r="AR239" s="65">
        <f t="shared" si="189"/>
        <v>0</v>
      </c>
      <c r="AS239" s="65">
        <f t="shared" si="189"/>
        <v>0</v>
      </c>
      <c r="AT239" s="65">
        <f t="shared" si="189"/>
        <v>0</v>
      </c>
      <c r="AU239" s="65">
        <f t="shared" si="189"/>
        <v>0</v>
      </c>
      <c r="AV239" s="65">
        <f t="shared" si="189"/>
        <v>0</v>
      </c>
      <c r="AW239" s="65">
        <f t="shared" si="189"/>
        <v>0</v>
      </c>
      <c r="AX239" s="65">
        <f t="shared" si="189"/>
        <v>0</v>
      </c>
      <c r="AY239" s="65">
        <f t="shared" si="189"/>
        <v>0</v>
      </c>
      <c r="AZ239" s="65">
        <f t="shared" si="189"/>
        <v>0</v>
      </c>
      <c r="BA239" s="65">
        <f t="shared" si="189"/>
        <v>0</v>
      </c>
      <c r="BB239" s="65">
        <f t="shared" si="189"/>
        <v>0</v>
      </c>
      <c r="BC239" s="65">
        <f t="shared" si="189"/>
        <v>0</v>
      </c>
      <c r="BD239" s="65">
        <f t="shared" si="189"/>
        <v>0</v>
      </c>
      <c r="BE239" s="65">
        <f t="shared" si="189"/>
        <v>0</v>
      </c>
      <c r="BF239" s="65">
        <f t="shared" si="189"/>
        <v>0</v>
      </c>
      <c r="BG239" s="65">
        <f t="shared" si="189"/>
        <v>0</v>
      </c>
      <c r="BH239" s="65">
        <f t="shared" si="189"/>
        <v>0</v>
      </c>
      <c r="BI239" s="65">
        <f t="shared" si="189"/>
        <v>0</v>
      </c>
      <c r="BJ239" s="65">
        <f t="shared" si="189"/>
        <v>0</v>
      </c>
      <c r="BK239" s="65">
        <f t="shared" si="189"/>
        <v>0</v>
      </c>
      <c r="BL239" s="65">
        <f t="shared" si="189"/>
        <v>0</v>
      </c>
      <c r="BM239" s="65">
        <f t="shared" si="189"/>
        <v>0</v>
      </c>
      <c r="BN239" s="65">
        <f t="shared" si="189"/>
        <v>0</v>
      </c>
      <c r="BO239" s="65">
        <f t="shared" si="189"/>
        <v>0</v>
      </c>
      <c r="BP239" s="65">
        <f t="shared" si="189"/>
        <v>0</v>
      </c>
      <c r="BQ239" s="7"/>
      <c r="CI239" s="55" t="s">
        <v>1</v>
      </c>
      <c r="DJ239" s="369" t="s">
        <v>1174</v>
      </c>
      <c r="DK239" s="463" t="s">
        <v>1175</v>
      </c>
      <c r="DL239" s="369" t="s">
        <v>1067</v>
      </c>
      <c r="DM239" s="369" t="s">
        <v>1172</v>
      </c>
      <c r="DN239" s="369" t="s">
        <v>1173</v>
      </c>
      <c r="DO239" s="462" t="s">
        <v>10</v>
      </c>
      <c r="DQ239" s="58" t="s">
        <v>231</v>
      </c>
    </row>
    <row r="240" spans="13:121" ht="19.5" customHeight="1">
      <c r="M240" s="58"/>
      <c r="W240" s="55" t="s">
        <v>1</v>
      </c>
      <c r="AB240" s="65">
        <f aca="true" t="shared" si="190" ref="AB240:BP240">IF($BU$110=0,0,IF(AB$128=0,0,1))</f>
        <v>0</v>
      </c>
      <c r="AC240" s="65">
        <f t="shared" si="190"/>
        <v>0</v>
      </c>
      <c r="AD240" s="65">
        <f t="shared" si="190"/>
        <v>0</v>
      </c>
      <c r="AE240" s="65">
        <f t="shared" si="190"/>
        <v>0</v>
      </c>
      <c r="AF240" s="65">
        <f t="shared" si="190"/>
        <v>0</v>
      </c>
      <c r="AG240" s="65">
        <f t="shared" si="190"/>
        <v>0</v>
      </c>
      <c r="AH240" s="65">
        <f t="shared" si="190"/>
        <v>0</v>
      </c>
      <c r="AI240" s="65">
        <f t="shared" si="190"/>
        <v>0</v>
      </c>
      <c r="AJ240" s="65">
        <f t="shared" si="190"/>
        <v>0</v>
      </c>
      <c r="AK240" s="65">
        <f t="shared" si="190"/>
        <v>0</v>
      </c>
      <c r="AL240" s="65">
        <f t="shared" si="190"/>
        <v>0</v>
      </c>
      <c r="AM240" s="65">
        <f t="shared" si="190"/>
        <v>0</v>
      </c>
      <c r="AN240" s="65">
        <f t="shared" si="190"/>
        <v>0</v>
      </c>
      <c r="AO240" s="65">
        <f t="shared" si="190"/>
        <v>0</v>
      </c>
      <c r="AP240" s="65">
        <f t="shared" si="190"/>
        <v>0</v>
      </c>
      <c r="AQ240" s="65">
        <f t="shared" si="190"/>
        <v>0</v>
      </c>
      <c r="AR240" s="65">
        <f t="shared" si="190"/>
        <v>0</v>
      </c>
      <c r="AS240" s="65">
        <f t="shared" si="190"/>
        <v>0</v>
      </c>
      <c r="AT240" s="65">
        <f t="shared" si="190"/>
        <v>0</v>
      </c>
      <c r="AU240" s="65">
        <f t="shared" si="190"/>
        <v>0</v>
      </c>
      <c r="AV240" s="65">
        <f t="shared" si="190"/>
        <v>0</v>
      </c>
      <c r="AW240" s="65">
        <f t="shared" si="190"/>
        <v>0</v>
      </c>
      <c r="AX240" s="65">
        <f t="shared" si="190"/>
        <v>0</v>
      </c>
      <c r="AY240" s="65">
        <f t="shared" si="190"/>
        <v>0</v>
      </c>
      <c r="AZ240" s="65">
        <f t="shared" si="190"/>
        <v>0</v>
      </c>
      <c r="BA240" s="65">
        <f t="shared" si="190"/>
        <v>0</v>
      </c>
      <c r="BB240" s="65">
        <f t="shared" si="190"/>
        <v>0</v>
      </c>
      <c r="BC240" s="65">
        <f t="shared" si="190"/>
        <v>0</v>
      </c>
      <c r="BD240" s="65">
        <f t="shared" si="190"/>
        <v>0</v>
      </c>
      <c r="BE240" s="65">
        <f t="shared" si="190"/>
        <v>0</v>
      </c>
      <c r="BF240" s="65">
        <f t="shared" si="190"/>
        <v>0</v>
      </c>
      <c r="BG240" s="65">
        <f t="shared" si="190"/>
        <v>0</v>
      </c>
      <c r="BH240" s="65">
        <f t="shared" si="190"/>
        <v>0</v>
      </c>
      <c r="BI240" s="65">
        <f t="shared" si="190"/>
        <v>0</v>
      </c>
      <c r="BJ240" s="65">
        <f t="shared" si="190"/>
        <v>0</v>
      </c>
      <c r="BK240" s="65">
        <f t="shared" si="190"/>
        <v>0</v>
      </c>
      <c r="BL240" s="65">
        <f t="shared" si="190"/>
        <v>0</v>
      </c>
      <c r="BM240" s="65">
        <f t="shared" si="190"/>
        <v>0</v>
      </c>
      <c r="BN240" s="65">
        <f t="shared" si="190"/>
        <v>0</v>
      </c>
      <c r="BO240" s="65">
        <f t="shared" si="190"/>
        <v>0</v>
      </c>
      <c r="BP240" s="65">
        <f t="shared" si="190"/>
        <v>0</v>
      </c>
      <c r="BQ240" s="7"/>
      <c r="CI240" s="55" t="s">
        <v>1</v>
      </c>
      <c r="DJ240" s="369" t="s">
        <v>1176</v>
      </c>
      <c r="DK240" s="461" t="s">
        <v>1177</v>
      </c>
      <c r="DL240" s="369" t="s">
        <v>1067</v>
      </c>
      <c r="DM240" s="369" t="s">
        <v>1172</v>
      </c>
      <c r="DN240" s="369" t="s">
        <v>1173</v>
      </c>
      <c r="DO240" s="462" t="s">
        <v>10</v>
      </c>
      <c r="DQ240" s="58" t="s">
        <v>231</v>
      </c>
    </row>
    <row r="241" spans="13:121" ht="19.5" customHeight="1">
      <c r="M241" s="58"/>
      <c r="W241" s="55" t="s">
        <v>1</v>
      </c>
      <c r="Z241" s="55" t="s">
        <v>273</v>
      </c>
      <c r="AB241" s="65">
        <f aca="true" t="shared" si="191" ref="AB241:BP241">IF($BU$111=0,0,IF(AB$128=0,0,1))</f>
        <v>0</v>
      </c>
      <c r="AC241" s="65">
        <f t="shared" si="191"/>
        <v>0</v>
      </c>
      <c r="AD241" s="65">
        <f t="shared" si="191"/>
        <v>0</v>
      </c>
      <c r="AE241" s="65">
        <f t="shared" si="191"/>
        <v>0</v>
      </c>
      <c r="AF241" s="65">
        <f t="shared" si="191"/>
        <v>0</v>
      </c>
      <c r="AG241" s="65">
        <f t="shared" si="191"/>
        <v>0</v>
      </c>
      <c r="AH241" s="65">
        <f t="shared" si="191"/>
        <v>0</v>
      </c>
      <c r="AI241" s="65">
        <f t="shared" si="191"/>
        <v>0</v>
      </c>
      <c r="AJ241" s="65">
        <f t="shared" si="191"/>
        <v>0</v>
      </c>
      <c r="AK241" s="65">
        <f t="shared" si="191"/>
        <v>0</v>
      </c>
      <c r="AL241" s="65">
        <f t="shared" si="191"/>
        <v>0</v>
      </c>
      <c r="AM241" s="65">
        <f t="shared" si="191"/>
        <v>0</v>
      </c>
      <c r="AN241" s="65">
        <f t="shared" si="191"/>
        <v>0</v>
      </c>
      <c r="AO241" s="65">
        <f t="shared" si="191"/>
        <v>0</v>
      </c>
      <c r="AP241" s="65">
        <f t="shared" si="191"/>
        <v>0</v>
      </c>
      <c r="AQ241" s="65">
        <f t="shared" si="191"/>
        <v>0</v>
      </c>
      <c r="AR241" s="65">
        <f t="shared" si="191"/>
        <v>0</v>
      </c>
      <c r="AS241" s="65">
        <f t="shared" si="191"/>
        <v>0</v>
      </c>
      <c r="AT241" s="65">
        <f t="shared" si="191"/>
        <v>0</v>
      </c>
      <c r="AU241" s="65">
        <f t="shared" si="191"/>
        <v>0</v>
      </c>
      <c r="AV241" s="65">
        <f t="shared" si="191"/>
        <v>0</v>
      </c>
      <c r="AW241" s="65">
        <f t="shared" si="191"/>
        <v>0</v>
      </c>
      <c r="AX241" s="65">
        <f t="shared" si="191"/>
        <v>0</v>
      </c>
      <c r="AY241" s="65">
        <f t="shared" si="191"/>
        <v>0</v>
      </c>
      <c r="AZ241" s="65">
        <f t="shared" si="191"/>
        <v>0</v>
      </c>
      <c r="BA241" s="65">
        <f t="shared" si="191"/>
        <v>0</v>
      </c>
      <c r="BB241" s="65">
        <f t="shared" si="191"/>
        <v>0</v>
      </c>
      <c r="BC241" s="65">
        <f t="shared" si="191"/>
        <v>0</v>
      </c>
      <c r="BD241" s="65">
        <f t="shared" si="191"/>
        <v>0</v>
      </c>
      <c r="BE241" s="65">
        <f t="shared" si="191"/>
        <v>0</v>
      </c>
      <c r="BF241" s="65">
        <f t="shared" si="191"/>
        <v>0</v>
      </c>
      <c r="BG241" s="65">
        <f t="shared" si="191"/>
        <v>0</v>
      </c>
      <c r="BH241" s="65">
        <f t="shared" si="191"/>
        <v>0</v>
      </c>
      <c r="BI241" s="65">
        <f t="shared" si="191"/>
        <v>0</v>
      </c>
      <c r="BJ241" s="65">
        <f t="shared" si="191"/>
        <v>0</v>
      </c>
      <c r="BK241" s="65">
        <f t="shared" si="191"/>
        <v>0</v>
      </c>
      <c r="BL241" s="65">
        <f t="shared" si="191"/>
        <v>0</v>
      </c>
      <c r="BM241" s="65">
        <f t="shared" si="191"/>
        <v>0</v>
      </c>
      <c r="BN241" s="65">
        <f t="shared" si="191"/>
        <v>0</v>
      </c>
      <c r="BO241" s="65">
        <f t="shared" si="191"/>
        <v>0</v>
      </c>
      <c r="BP241" s="65">
        <f t="shared" si="191"/>
        <v>0</v>
      </c>
      <c r="BQ241" s="7"/>
      <c r="CI241" s="55" t="s">
        <v>1</v>
      </c>
      <c r="DJ241" s="369" t="s">
        <v>1178</v>
      </c>
      <c r="DK241" s="461" t="s">
        <v>1179</v>
      </c>
      <c r="DL241" s="369" t="s">
        <v>1067</v>
      </c>
      <c r="DM241" s="369" t="s">
        <v>1172</v>
      </c>
      <c r="DN241" s="369" t="s">
        <v>1173</v>
      </c>
      <c r="DO241" s="462" t="s">
        <v>10</v>
      </c>
      <c r="DQ241" s="58" t="s">
        <v>231</v>
      </c>
    </row>
    <row r="242" spans="13:121" ht="19.5" customHeight="1">
      <c r="M242" s="58"/>
      <c r="W242" s="55" t="s">
        <v>1</v>
      </c>
      <c r="AB242" s="65">
        <f aca="true" t="shared" si="192" ref="AB242:BP242">IF($BU$112=0,0,IF(AB$128=0,0,1))</f>
        <v>0</v>
      </c>
      <c r="AC242" s="65">
        <f t="shared" si="192"/>
        <v>0</v>
      </c>
      <c r="AD242" s="65">
        <f t="shared" si="192"/>
        <v>0</v>
      </c>
      <c r="AE242" s="65">
        <f t="shared" si="192"/>
        <v>0</v>
      </c>
      <c r="AF242" s="65">
        <f t="shared" si="192"/>
        <v>0</v>
      </c>
      <c r="AG242" s="65">
        <f t="shared" si="192"/>
        <v>0</v>
      </c>
      <c r="AH242" s="65">
        <f t="shared" si="192"/>
        <v>0</v>
      </c>
      <c r="AI242" s="65">
        <f t="shared" si="192"/>
        <v>0</v>
      </c>
      <c r="AJ242" s="65">
        <f t="shared" si="192"/>
        <v>0</v>
      </c>
      <c r="AK242" s="65">
        <f t="shared" si="192"/>
        <v>0</v>
      </c>
      <c r="AL242" s="65">
        <f t="shared" si="192"/>
        <v>0</v>
      </c>
      <c r="AM242" s="65">
        <f t="shared" si="192"/>
        <v>0</v>
      </c>
      <c r="AN242" s="65">
        <f t="shared" si="192"/>
        <v>0</v>
      </c>
      <c r="AO242" s="65">
        <f t="shared" si="192"/>
        <v>0</v>
      </c>
      <c r="AP242" s="65">
        <f t="shared" si="192"/>
        <v>0</v>
      </c>
      <c r="AQ242" s="65">
        <f t="shared" si="192"/>
        <v>0</v>
      </c>
      <c r="AR242" s="65">
        <f t="shared" si="192"/>
        <v>0</v>
      </c>
      <c r="AS242" s="65">
        <f t="shared" si="192"/>
        <v>0</v>
      </c>
      <c r="AT242" s="65">
        <f t="shared" si="192"/>
        <v>0</v>
      </c>
      <c r="AU242" s="65">
        <f t="shared" si="192"/>
        <v>0</v>
      </c>
      <c r="AV242" s="65">
        <f t="shared" si="192"/>
        <v>0</v>
      </c>
      <c r="AW242" s="65">
        <f t="shared" si="192"/>
        <v>0</v>
      </c>
      <c r="AX242" s="65">
        <f t="shared" si="192"/>
        <v>0</v>
      </c>
      <c r="AY242" s="65">
        <f t="shared" si="192"/>
        <v>0</v>
      </c>
      <c r="AZ242" s="65">
        <f t="shared" si="192"/>
        <v>0</v>
      </c>
      <c r="BA242" s="65">
        <f t="shared" si="192"/>
        <v>0</v>
      </c>
      <c r="BB242" s="65">
        <f t="shared" si="192"/>
        <v>0</v>
      </c>
      <c r="BC242" s="65">
        <f t="shared" si="192"/>
        <v>0</v>
      </c>
      <c r="BD242" s="65">
        <f t="shared" si="192"/>
        <v>0</v>
      </c>
      <c r="BE242" s="65">
        <f t="shared" si="192"/>
        <v>0</v>
      </c>
      <c r="BF242" s="65">
        <f t="shared" si="192"/>
        <v>0</v>
      </c>
      <c r="BG242" s="65">
        <f t="shared" si="192"/>
        <v>0</v>
      </c>
      <c r="BH242" s="65">
        <f t="shared" si="192"/>
        <v>0</v>
      </c>
      <c r="BI242" s="65">
        <f t="shared" si="192"/>
        <v>0</v>
      </c>
      <c r="BJ242" s="65">
        <f t="shared" si="192"/>
        <v>0</v>
      </c>
      <c r="BK242" s="65">
        <f t="shared" si="192"/>
        <v>0</v>
      </c>
      <c r="BL242" s="65">
        <f t="shared" si="192"/>
        <v>0</v>
      </c>
      <c r="BM242" s="65">
        <f t="shared" si="192"/>
        <v>0</v>
      </c>
      <c r="BN242" s="65">
        <f t="shared" si="192"/>
        <v>0</v>
      </c>
      <c r="BO242" s="65">
        <f t="shared" si="192"/>
        <v>0</v>
      </c>
      <c r="BP242" s="65">
        <f t="shared" si="192"/>
        <v>0</v>
      </c>
      <c r="BQ242" s="7"/>
      <c r="CI242" s="55" t="s">
        <v>1</v>
      </c>
      <c r="DJ242" s="369" t="s">
        <v>1180</v>
      </c>
      <c r="DK242" s="461" t="s">
        <v>1181</v>
      </c>
      <c r="DL242" s="369" t="s">
        <v>1067</v>
      </c>
      <c r="DM242" s="369" t="s">
        <v>1172</v>
      </c>
      <c r="DN242" s="369" t="s">
        <v>1173</v>
      </c>
      <c r="DO242" s="462" t="s">
        <v>10</v>
      </c>
      <c r="DQ242" s="58" t="s">
        <v>231</v>
      </c>
    </row>
    <row r="243" spans="13:121" ht="19.5" customHeight="1">
      <c r="M243" s="58"/>
      <c r="W243" s="55" t="s">
        <v>1</v>
      </c>
      <c r="Z243" s="55" t="s">
        <v>274</v>
      </c>
      <c r="AB243" s="65">
        <f aca="true" t="shared" si="193" ref="AB243:BP243">IF($BU$113=0,0,IF(AB$128=0,0,1))</f>
        <v>0</v>
      </c>
      <c r="AC243" s="65">
        <f t="shared" si="193"/>
        <v>0</v>
      </c>
      <c r="AD243" s="65">
        <f t="shared" si="193"/>
        <v>0</v>
      </c>
      <c r="AE243" s="65">
        <f t="shared" si="193"/>
        <v>0</v>
      </c>
      <c r="AF243" s="65">
        <f t="shared" si="193"/>
        <v>0</v>
      </c>
      <c r="AG243" s="65">
        <f t="shared" si="193"/>
        <v>0</v>
      </c>
      <c r="AH243" s="65">
        <f t="shared" si="193"/>
        <v>0</v>
      </c>
      <c r="AI243" s="65">
        <f t="shared" si="193"/>
        <v>0</v>
      </c>
      <c r="AJ243" s="65">
        <f t="shared" si="193"/>
        <v>0</v>
      </c>
      <c r="AK243" s="65">
        <f t="shared" si="193"/>
        <v>0</v>
      </c>
      <c r="AL243" s="65">
        <f t="shared" si="193"/>
        <v>0</v>
      </c>
      <c r="AM243" s="65">
        <f t="shared" si="193"/>
        <v>0</v>
      </c>
      <c r="AN243" s="65">
        <f t="shared" si="193"/>
        <v>0</v>
      </c>
      <c r="AO243" s="65">
        <f t="shared" si="193"/>
        <v>0</v>
      </c>
      <c r="AP243" s="65">
        <f t="shared" si="193"/>
        <v>0</v>
      </c>
      <c r="AQ243" s="65">
        <f t="shared" si="193"/>
        <v>0</v>
      </c>
      <c r="AR243" s="65">
        <f t="shared" si="193"/>
        <v>0</v>
      </c>
      <c r="AS243" s="65">
        <f t="shared" si="193"/>
        <v>0</v>
      </c>
      <c r="AT243" s="65">
        <f t="shared" si="193"/>
        <v>0</v>
      </c>
      <c r="AU243" s="65">
        <f t="shared" si="193"/>
        <v>0</v>
      </c>
      <c r="AV243" s="65">
        <f t="shared" si="193"/>
        <v>0</v>
      </c>
      <c r="AW243" s="65">
        <f t="shared" si="193"/>
        <v>0</v>
      </c>
      <c r="AX243" s="65">
        <f t="shared" si="193"/>
        <v>0</v>
      </c>
      <c r="AY243" s="65">
        <f t="shared" si="193"/>
        <v>0</v>
      </c>
      <c r="AZ243" s="65">
        <f t="shared" si="193"/>
        <v>0</v>
      </c>
      <c r="BA243" s="65">
        <f t="shared" si="193"/>
        <v>0</v>
      </c>
      <c r="BB243" s="65">
        <f t="shared" si="193"/>
        <v>0</v>
      </c>
      <c r="BC243" s="65">
        <f t="shared" si="193"/>
        <v>0</v>
      </c>
      <c r="BD243" s="65">
        <f t="shared" si="193"/>
        <v>0</v>
      </c>
      <c r="BE243" s="65">
        <f t="shared" si="193"/>
        <v>0</v>
      </c>
      <c r="BF243" s="65">
        <f t="shared" si="193"/>
        <v>0</v>
      </c>
      <c r="BG243" s="65">
        <f t="shared" si="193"/>
        <v>0</v>
      </c>
      <c r="BH243" s="65">
        <f t="shared" si="193"/>
        <v>0</v>
      </c>
      <c r="BI243" s="65">
        <f t="shared" si="193"/>
        <v>0</v>
      </c>
      <c r="BJ243" s="65">
        <f t="shared" si="193"/>
        <v>0</v>
      </c>
      <c r="BK243" s="65">
        <f t="shared" si="193"/>
        <v>0</v>
      </c>
      <c r="BL243" s="65">
        <f t="shared" si="193"/>
        <v>0</v>
      </c>
      <c r="BM243" s="65">
        <f t="shared" si="193"/>
        <v>0</v>
      </c>
      <c r="BN243" s="65">
        <f t="shared" si="193"/>
        <v>0</v>
      </c>
      <c r="BO243" s="65">
        <f t="shared" si="193"/>
        <v>0</v>
      </c>
      <c r="BP243" s="65">
        <f t="shared" si="193"/>
        <v>0</v>
      </c>
      <c r="BQ243" s="7"/>
      <c r="CI243" s="55" t="s">
        <v>1</v>
      </c>
      <c r="DJ243" s="369" t="s">
        <v>1182</v>
      </c>
      <c r="DK243" s="463" t="s">
        <v>1183</v>
      </c>
      <c r="DL243" s="369" t="s">
        <v>1067</v>
      </c>
      <c r="DM243" s="369" t="s">
        <v>1172</v>
      </c>
      <c r="DN243" s="369" t="s">
        <v>1173</v>
      </c>
      <c r="DO243" s="462" t="s">
        <v>10</v>
      </c>
      <c r="DQ243" s="58" t="s">
        <v>231</v>
      </c>
    </row>
    <row r="244" spans="13:121" ht="19.5" customHeight="1">
      <c r="M244" s="58"/>
      <c r="U244" s="57"/>
      <c r="W244" s="55" t="s">
        <v>1</v>
      </c>
      <c r="AB244" s="65">
        <f aca="true" t="shared" si="194" ref="AB244:BP244">IF($BU$114=0,0,IF(AB$128=0,0,1))</f>
        <v>0</v>
      </c>
      <c r="AC244" s="65">
        <f t="shared" si="194"/>
        <v>0</v>
      </c>
      <c r="AD244" s="65">
        <f t="shared" si="194"/>
        <v>0</v>
      </c>
      <c r="AE244" s="65">
        <f t="shared" si="194"/>
        <v>0</v>
      </c>
      <c r="AF244" s="65">
        <f t="shared" si="194"/>
        <v>0</v>
      </c>
      <c r="AG244" s="65">
        <f t="shared" si="194"/>
        <v>0</v>
      </c>
      <c r="AH244" s="65">
        <f t="shared" si="194"/>
        <v>0</v>
      </c>
      <c r="AI244" s="65">
        <f t="shared" si="194"/>
        <v>0</v>
      </c>
      <c r="AJ244" s="65">
        <f t="shared" si="194"/>
        <v>0</v>
      </c>
      <c r="AK244" s="65">
        <f t="shared" si="194"/>
        <v>0</v>
      </c>
      <c r="AL244" s="65">
        <f t="shared" si="194"/>
        <v>0</v>
      </c>
      <c r="AM244" s="65">
        <f t="shared" si="194"/>
        <v>0</v>
      </c>
      <c r="AN244" s="65">
        <f t="shared" si="194"/>
        <v>0</v>
      </c>
      <c r="AO244" s="65">
        <f t="shared" si="194"/>
        <v>0</v>
      </c>
      <c r="AP244" s="65">
        <f t="shared" si="194"/>
        <v>0</v>
      </c>
      <c r="AQ244" s="65">
        <f t="shared" si="194"/>
        <v>0</v>
      </c>
      <c r="AR244" s="65">
        <f t="shared" si="194"/>
        <v>0</v>
      </c>
      <c r="AS244" s="65">
        <f t="shared" si="194"/>
        <v>0</v>
      </c>
      <c r="AT244" s="65">
        <f t="shared" si="194"/>
        <v>0</v>
      </c>
      <c r="AU244" s="65">
        <f t="shared" si="194"/>
        <v>0</v>
      </c>
      <c r="AV244" s="65">
        <f t="shared" si="194"/>
        <v>0</v>
      </c>
      <c r="AW244" s="65">
        <f t="shared" si="194"/>
        <v>0</v>
      </c>
      <c r="AX244" s="65">
        <f t="shared" si="194"/>
        <v>0</v>
      </c>
      <c r="AY244" s="65">
        <f t="shared" si="194"/>
        <v>0</v>
      </c>
      <c r="AZ244" s="65">
        <f t="shared" si="194"/>
        <v>0</v>
      </c>
      <c r="BA244" s="65">
        <f t="shared" si="194"/>
        <v>0</v>
      </c>
      <c r="BB244" s="65">
        <f t="shared" si="194"/>
        <v>0</v>
      </c>
      <c r="BC244" s="65">
        <f t="shared" si="194"/>
        <v>0</v>
      </c>
      <c r="BD244" s="65">
        <f t="shared" si="194"/>
        <v>0</v>
      </c>
      <c r="BE244" s="65">
        <f t="shared" si="194"/>
        <v>0</v>
      </c>
      <c r="BF244" s="65">
        <f t="shared" si="194"/>
        <v>0</v>
      </c>
      <c r="BG244" s="65">
        <f t="shared" si="194"/>
        <v>0</v>
      </c>
      <c r="BH244" s="65">
        <f t="shared" si="194"/>
        <v>0</v>
      </c>
      <c r="BI244" s="65">
        <f t="shared" si="194"/>
        <v>0</v>
      </c>
      <c r="BJ244" s="65">
        <f t="shared" si="194"/>
        <v>0</v>
      </c>
      <c r="BK244" s="65">
        <f t="shared" si="194"/>
        <v>0</v>
      </c>
      <c r="BL244" s="65">
        <f t="shared" si="194"/>
        <v>0</v>
      </c>
      <c r="BM244" s="65">
        <f t="shared" si="194"/>
        <v>0</v>
      </c>
      <c r="BN244" s="65">
        <f t="shared" si="194"/>
        <v>0</v>
      </c>
      <c r="BO244" s="65">
        <f t="shared" si="194"/>
        <v>0</v>
      </c>
      <c r="BP244" s="65">
        <f t="shared" si="194"/>
        <v>0</v>
      </c>
      <c r="BQ244" s="7"/>
      <c r="CI244" s="55" t="s">
        <v>1</v>
      </c>
      <c r="DJ244" s="369" t="s">
        <v>1184</v>
      </c>
      <c r="DK244" s="461" t="s">
        <v>1185</v>
      </c>
      <c r="DL244" s="369" t="s">
        <v>1067</v>
      </c>
      <c r="DM244" s="369" t="s">
        <v>1172</v>
      </c>
      <c r="DN244" s="369" t="s">
        <v>1173</v>
      </c>
      <c r="DO244" s="462" t="s">
        <v>10</v>
      </c>
      <c r="DQ244" s="58" t="s">
        <v>231</v>
      </c>
    </row>
    <row r="245" spans="13:121" ht="19.5" customHeight="1">
      <c r="M245" s="58"/>
      <c r="W245" s="55" t="s">
        <v>1</v>
      </c>
      <c r="Z245" s="55" t="s">
        <v>275</v>
      </c>
      <c r="AB245" s="65">
        <f aca="true" t="shared" si="195" ref="AB245:BP245">IF($BU$115=0,0,IF(AB$128=0,0,1))</f>
        <v>0</v>
      </c>
      <c r="AC245" s="65">
        <f t="shared" si="195"/>
        <v>0</v>
      </c>
      <c r="AD245" s="65">
        <f t="shared" si="195"/>
        <v>0</v>
      </c>
      <c r="AE245" s="65">
        <f t="shared" si="195"/>
        <v>0</v>
      </c>
      <c r="AF245" s="65">
        <f t="shared" si="195"/>
        <v>0</v>
      </c>
      <c r="AG245" s="65">
        <f t="shared" si="195"/>
        <v>0</v>
      </c>
      <c r="AH245" s="65">
        <f t="shared" si="195"/>
        <v>0</v>
      </c>
      <c r="AI245" s="65">
        <f t="shared" si="195"/>
        <v>0</v>
      </c>
      <c r="AJ245" s="65">
        <f t="shared" si="195"/>
        <v>0</v>
      </c>
      <c r="AK245" s="65">
        <f t="shared" si="195"/>
        <v>0</v>
      </c>
      <c r="AL245" s="65">
        <f t="shared" si="195"/>
        <v>0</v>
      </c>
      <c r="AM245" s="65">
        <f t="shared" si="195"/>
        <v>0</v>
      </c>
      <c r="AN245" s="65">
        <f t="shared" si="195"/>
        <v>0</v>
      </c>
      <c r="AO245" s="65">
        <f t="shared" si="195"/>
        <v>0</v>
      </c>
      <c r="AP245" s="65">
        <f t="shared" si="195"/>
        <v>0</v>
      </c>
      <c r="AQ245" s="65">
        <f t="shared" si="195"/>
        <v>0</v>
      </c>
      <c r="AR245" s="65">
        <f t="shared" si="195"/>
        <v>0</v>
      </c>
      <c r="AS245" s="65">
        <f t="shared" si="195"/>
        <v>0</v>
      </c>
      <c r="AT245" s="65">
        <f t="shared" si="195"/>
        <v>0</v>
      </c>
      <c r="AU245" s="65">
        <f t="shared" si="195"/>
        <v>0</v>
      </c>
      <c r="AV245" s="65">
        <f t="shared" si="195"/>
        <v>0</v>
      </c>
      <c r="AW245" s="65">
        <f t="shared" si="195"/>
        <v>0</v>
      </c>
      <c r="AX245" s="65">
        <f t="shared" si="195"/>
        <v>0</v>
      </c>
      <c r="AY245" s="65">
        <f t="shared" si="195"/>
        <v>0</v>
      </c>
      <c r="AZ245" s="65">
        <f t="shared" si="195"/>
        <v>0</v>
      </c>
      <c r="BA245" s="65">
        <f t="shared" si="195"/>
        <v>0</v>
      </c>
      <c r="BB245" s="65">
        <f t="shared" si="195"/>
        <v>0</v>
      </c>
      <c r="BC245" s="65">
        <f t="shared" si="195"/>
        <v>0</v>
      </c>
      <c r="BD245" s="65">
        <f t="shared" si="195"/>
        <v>0</v>
      </c>
      <c r="BE245" s="65">
        <f t="shared" si="195"/>
        <v>0</v>
      </c>
      <c r="BF245" s="65">
        <f t="shared" si="195"/>
        <v>0</v>
      </c>
      <c r="BG245" s="65">
        <f t="shared" si="195"/>
        <v>0</v>
      </c>
      <c r="BH245" s="65">
        <f t="shared" si="195"/>
        <v>0</v>
      </c>
      <c r="BI245" s="65">
        <f t="shared" si="195"/>
        <v>0</v>
      </c>
      <c r="BJ245" s="65">
        <f t="shared" si="195"/>
        <v>0</v>
      </c>
      <c r="BK245" s="65">
        <f t="shared" si="195"/>
        <v>0</v>
      </c>
      <c r="BL245" s="65">
        <f t="shared" si="195"/>
        <v>0</v>
      </c>
      <c r="BM245" s="65">
        <f t="shared" si="195"/>
        <v>0</v>
      </c>
      <c r="BN245" s="65">
        <f t="shared" si="195"/>
        <v>0</v>
      </c>
      <c r="BO245" s="65">
        <f t="shared" si="195"/>
        <v>0</v>
      </c>
      <c r="BP245" s="65">
        <f t="shared" si="195"/>
        <v>0</v>
      </c>
      <c r="BQ245" s="7"/>
      <c r="CI245" s="55" t="s">
        <v>1</v>
      </c>
      <c r="DJ245" s="369" t="s">
        <v>1186</v>
      </c>
      <c r="DK245" s="463" t="s">
        <v>1187</v>
      </c>
      <c r="DL245" s="369" t="s">
        <v>1188</v>
      </c>
      <c r="DM245" s="369" t="s">
        <v>1189</v>
      </c>
      <c r="DN245" s="369" t="s">
        <v>1190</v>
      </c>
      <c r="DO245" s="462" t="s">
        <v>1191</v>
      </c>
      <c r="DQ245" s="58" t="s">
        <v>231</v>
      </c>
    </row>
    <row r="246" spans="13:121" ht="19.5" customHeight="1">
      <c r="M246" s="58"/>
      <c r="W246" s="55" t="s">
        <v>1</v>
      </c>
      <c r="AB246" s="65">
        <f aca="true" t="shared" si="196" ref="AB246:BP246">IF($BU$116=0,0,IF(AB$128=0,0,1))</f>
        <v>0</v>
      </c>
      <c r="AC246" s="65">
        <f t="shared" si="196"/>
        <v>0</v>
      </c>
      <c r="AD246" s="65">
        <f t="shared" si="196"/>
        <v>0</v>
      </c>
      <c r="AE246" s="65">
        <f t="shared" si="196"/>
        <v>0</v>
      </c>
      <c r="AF246" s="65">
        <f t="shared" si="196"/>
        <v>0</v>
      </c>
      <c r="AG246" s="65">
        <f t="shared" si="196"/>
        <v>0</v>
      </c>
      <c r="AH246" s="65">
        <f t="shared" si="196"/>
        <v>0</v>
      </c>
      <c r="AI246" s="65">
        <f t="shared" si="196"/>
        <v>0</v>
      </c>
      <c r="AJ246" s="65">
        <f t="shared" si="196"/>
        <v>0</v>
      </c>
      <c r="AK246" s="65">
        <f t="shared" si="196"/>
        <v>0</v>
      </c>
      <c r="AL246" s="65">
        <f t="shared" si="196"/>
        <v>0</v>
      </c>
      <c r="AM246" s="65">
        <f t="shared" si="196"/>
        <v>0</v>
      </c>
      <c r="AN246" s="65">
        <f t="shared" si="196"/>
        <v>0</v>
      </c>
      <c r="AO246" s="65">
        <f t="shared" si="196"/>
        <v>0</v>
      </c>
      <c r="AP246" s="65">
        <f t="shared" si="196"/>
        <v>0</v>
      </c>
      <c r="AQ246" s="65">
        <f t="shared" si="196"/>
        <v>0</v>
      </c>
      <c r="AR246" s="65">
        <f t="shared" si="196"/>
        <v>0</v>
      </c>
      <c r="AS246" s="65">
        <f t="shared" si="196"/>
        <v>0</v>
      </c>
      <c r="AT246" s="65">
        <f t="shared" si="196"/>
        <v>0</v>
      </c>
      <c r="AU246" s="65">
        <f t="shared" si="196"/>
        <v>0</v>
      </c>
      <c r="AV246" s="65">
        <f t="shared" si="196"/>
        <v>0</v>
      </c>
      <c r="AW246" s="65">
        <f t="shared" si="196"/>
        <v>0</v>
      </c>
      <c r="AX246" s="65">
        <f t="shared" si="196"/>
        <v>0</v>
      </c>
      <c r="AY246" s="65">
        <f t="shared" si="196"/>
        <v>0</v>
      </c>
      <c r="AZ246" s="65">
        <f t="shared" si="196"/>
        <v>0</v>
      </c>
      <c r="BA246" s="65">
        <f t="shared" si="196"/>
        <v>0</v>
      </c>
      <c r="BB246" s="65">
        <f t="shared" si="196"/>
        <v>0</v>
      </c>
      <c r="BC246" s="65">
        <f t="shared" si="196"/>
        <v>0</v>
      </c>
      <c r="BD246" s="65">
        <f t="shared" si="196"/>
        <v>0</v>
      </c>
      <c r="BE246" s="65">
        <f t="shared" si="196"/>
        <v>0</v>
      </c>
      <c r="BF246" s="65">
        <f t="shared" si="196"/>
        <v>0</v>
      </c>
      <c r="BG246" s="65">
        <f t="shared" si="196"/>
        <v>0</v>
      </c>
      <c r="BH246" s="65">
        <f t="shared" si="196"/>
        <v>0</v>
      </c>
      <c r="BI246" s="65">
        <f t="shared" si="196"/>
        <v>0</v>
      </c>
      <c r="BJ246" s="65">
        <f t="shared" si="196"/>
        <v>0</v>
      </c>
      <c r="BK246" s="65">
        <f t="shared" si="196"/>
        <v>0</v>
      </c>
      <c r="BL246" s="65">
        <f t="shared" si="196"/>
        <v>0</v>
      </c>
      <c r="BM246" s="65">
        <f t="shared" si="196"/>
        <v>0</v>
      </c>
      <c r="BN246" s="65">
        <f t="shared" si="196"/>
        <v>0</v>
      </c>
      <c r="BO246" s="65">
        <f t="shared" si="196"/>
        <v>0</v>
      </c>
      <c r="BP246" s="65">
        <f t="shared" si="196"/>
        <v>0</v>
      </c>
      <c r="BQ246" s="7"/>
      <c r="CI246" s="55" t="s">
        <v>1</v>
      </c>
      <c r="DJ246" s="369" t="s">
        <v>1192</v>
      </c>
      <c r="DK246" s="461" t="s">
        <v>1193</v>
      </c>
      <c r="DL246" s="369" t="s">
        <v>1067</v>
      </c>
      <c r="DM246" s="369" t="s">
        <v>1172</v>
      </c>
      <c r="DN246" s="369" t="s">
        <v>1173</v>
      </c>
      <c r="DO246" s="462" t="s">
        <v>10</v>
      </c>
      <c r="DQ246" s="58" t="s">
        <v>231</v>
      </c>
    </row>
    <row r="247" spans="13:121" ht="19.5" customHeight="1">
      <c r="M247" s="58"/>
      <c r="W247" s="55" t="s">
        <v>1</v>
      </c>
      <c r="Z247" s="55" t="s">
        <v>276</v>
      </c>
      <c r="AB247" s="65">
        <f aca="true" t="shared" si="197" ref="AB247:BP247">IF($BU$117=0,0,IF(AB$128=0,0,1))</f>
        <v>0</v>
      </c>
      <c r="AC247" s="65">
        <f t="shared" si="197"/>
        <v>0</v>
      </c>
      <c r="AD247" s="65">
        <f t="shared" si="197"/>
        <v>0</v>
      </c>
      <c r="AE247" s="65">
        <f t="shared" si="197"/>
        <v>0</v>
      </c>
      <c r="AF247" s="65">
        <f t="shared" si="197"/>
        <v>0</v>
      </c>
      <c r="AG247" s="65">
        <f t="shared" si="197"/>
        <v>0</v>
      </c>
      <c r="AH247" s="65">
        <f t="shared" si="197"/>
        <v>0</v>
      </c>
      <c r="AI247" s="65">
        <f t="shared" si="197"/>
        <v>0</v>
      </c>
      <c r="AJ247" s="65">
        <f t="shared" si="197"/>
        <v>0</v>
      </c>
      <c r="AK247" s="65">
        <f t="shared" si="197"/>
        <v>0</v>
      </c>
      <c r="AL247" s="65">
        <f t="shared" si="197"/>
        <v>0</v>
      </c>
      <c r="AM247" s="65">
        <f t="shared" si="197"/>
        <v>0</v>
      </c>
      <c r="AN247" s="65">
        <f t="shared" si="197"/>
        <v>0</v>
      </c>
      <c r="AO247" s="65">
        <f t="shared" si="197"/>
        <v>0</v>
      </c>
      <c r="AP247" s="65">
        <f t="shared" si="197"/>
        <v>0</v>
      </c>
      <c r="AQ247" s="65">
        <f t="shared" si="197"/>
        <v>0</v>
      </c>
      <c r="AR247" s="65">
        <f t="shared" si="197"/>
        <v>0</v>
      </c>
      <c r="AS247" s="65">
        <f t="shared" si="197"/>
        <v>0</v>
      </c>
      <c r="AT247" s="65">
        <f t="shared" si="197"/>
        <v>0</v>
      </c>
      <c r="AU247" s="65">
        <f t="shared" si="197"/>
        <v>0</v>
      </c>
      <c r="AV247" s="65">
        <f t="shared" si="197"/>
        <v>0</v>
      </c>
      <c r="AW247" s="65">
        <f t="shared" si="197"/>
        <v>0</v>
      </c>
      <c r="AX247" s="65">
        <f t="shared" si="197"/>
        <v>0</v>
      </c>
      <c r="AY247" s="65">
        <f t="shared" si="197"/>
        <v>0</v>
      </c>
      <c r="AZ247" s="65">
        <f t="shared" si="197"/>
        <v>0</v>
      </c>
      <c r="BA247" s="65">
        <f t="shared" si="197"/>
        <v>0</v>
      </c>
      <c r="BB247" s="65">
        <f t="shared" si="197"/>
        <v>0</v>
      </c>
      <c r="BC247" s="65">
        <f t="shared" si="197"/>
        <v>0</v>
      </c>
      <c r="BD247" s="65">
        <f t="shared" si="197"/>
        <v>0</v>
      </c>
      <c r="BE247" s="65">
        <f t="shared" si="197"/>
        <v>0</v>
      </c>
      <c r="BF247" s="65">
        <f t="shared" si="197"/>
        <v>0</v>
      </c>
      <c r="BG247" s="65">
        <f t="shared" si="197"/>
        <v>0</v>
      </c>
      <c r="BH247" s="65">
        <f t="shared" si="197"/>
        <v>0</v>
      </c>
      <c r="BI247" s="65">
        <f t="shared" si="197"/>
        <v>0</v>
      </c>
      <c r="BJ247" s="65">
        <f t="shared" si="197"/>
        <v>0</v>
      </c>
      <c r="BK247" s="65">
        <f t="shared" si="197"/>
        <v>0</v>
      </c>
      <c r="BL247" s="65">
        <f t="shared" si="197"/>
        <v>0</v>
      </c>
      <c r="BM247" s="65">
        <f t="shared" si="197"/>
        <v>0</v>
      </c>
      <c r="BN247" s="65">
        <f t="shared" si="197"/>
        <v>0</v>
      </c>
      <c r="BO247" s="65">
        <f t="shared" si="197"/>
        <v>0</v>
      </c>
      <c r="BP247" s="65">
        <f t="shared" si="197"/>
        <v>0</v>
      </c>
      <c r="BQ247" s="7"/>
      <c r="CI247" s="55" t="s">
        <v>1</v>
      </c>
      <c r="DJ247" s="369" t="s">
        <v>1194</v>
      </c>
      <c r="DK247" s="461" t="s">
        <v>1195</v>
      </c>
      <c r="DL247" s="369" t="s">
        <v>1067</v>
      </c>
      <c r="DM247" s="369" t="s">
        <v>1172</v>
      </c>
      <c r="DN247" s="369" t="s">
        <v>1173</v>
      </c>
      <c r="DO247" s="462" t="s">
        <v>10</v>
      </c>
      <c r="DQ247" s="58" t="s">
        <v>231</v>
      </c>
    </row>
    <row r="248" spans="13:121" ht="19.5" customHeight="1">
      <c r="M248" s="58"/>
      <c r="W248" s="55" t="s">
        <v>1</v>
      </c>
      <c r="AB248" s="65">
        <f aca="true" t="shared" si="198" ref="AB248:BP248">IF($BU$118=0,0,IF(AB$128=0,0,1))</f>
        <v>0</v>
      </c>
      <c r="AC248" s="65">
        <f t="shared" si="198"/>
        <v>0</v>
      </c>
      <c r="AD248" s="65">
        <f t="shared" si="198"/>
        <v>0</v>
      </c>
      <c r="AE248" s="65">
        <f t="shared" si="198"/>
        <v>0</v>
      </c>
      <c r="AF248" s="65">
        <f t="shared" si="198"/>
        <v>0</v>
      </c>
      <c r="AG248" s="65">
        <f t="shared" si="198"/>
        <v>0</v>
      </c>
      <c r="AH248" s="65">
        <f t="shared" si="198"/>
        <v>0</v>
      </c>
      <c r="AI248" s="65">
        <f t="shared" si="198"/>
        <v>0</v>
      </c>
      <c r="AJ248" s="65">
        <f t="shared" si="198"/>
        <v>0</v>
      </c>
      <c r="AK248" s="65">
        <f t="shared" si="198"/>
        <v>0</v>
      </c>
      <c r="AL248" s="65">
        <f t="shared" si="198"/>
        <v>0</v>
      </c>
      <c r="AM248" s="65">
        <f t="shared" si="198"/>
        <v>0</v>
      </c>
      <c r="AN248" s="65">
        <f t="shared" si="198"/>
        <v>0</v>
      </c>
      <c r="AO248" s="65">
        <f t="shared" si="198"/>
        <v>0</v>
      </c>
      <c r="AP248" s="65">
        <f t="shared" si="198"/>
        <v>0</v>
      </c>
      <c r="AQ248" s="65">
        <f t="shared" si="198"/>
        <v>0</v>
      </c>
      <c r="AR248" s="65">
        <f t="shared" si="198"/>
        <v>0</v>
      </c>
      <c r="AS248" s="65">
        <f t="shared" si="198"/>
        <v>0</v>
      </c>
      <c r="AT248" s="65">
        <f t="shared" si="198"/>
        <v>0</v>
      </c>
      <c r="AU248" s="65">
        <f t="shared" si="198"/>
        <v>0</v>
      </c>
      <c r="AV248" s="65">
        <f t="shared" si="198"/>
        <v>0</v>
      </c>
      <c r="AW248" s="65">
        <f t="shared" si="198"/>
        <v>0</v>
      </c>
      <c r="AX248" s="65">
        <f t="shared" si="198"/>
        <v>0</v>
      </c>
      <c r="AY248" s="65">
        <f t="shared" si="198"/>
        <v>0</v>
      </c>
      <c r="AZ248" s="65">
        <f t="shared" si="198"/>
        <v>0</v>
      </c>
      <c r="BA248" s="65">
        <f t="shared" si="198"/>
        <v>0</v>
      </c>
      <c r="BB248" s="65">
        <f t="shared" si="198"/>
        <v>0</v>
      </c>
      <c r="BC248" s="65">
        <f t="shared" si="198"/>
        <v>0</v>
      </c>
      <c r="BD248" s="65">
        <f t="shared" si="198"/>
        <v>0</v>
      </c>
      <c r="BE248" s="65">
        <f t="shared" si="198"/>
        <v>0</v>
      </c>
      <c r="BF248" s="65">
        <f t="shared" si="198"/>
        <v>0</v>
      </c>
      <c r="BG248" s="65">
        <f t="shared" si="198"/>
        <v>0</v>
      </c>
      <c r="BH248" s="65">
        <f t="shared" si="198"/>
        <v>0</v>
      </c>
      <c r="BI248" s="65">
        <f t="shared" si="198"/>
        <v>0</v>
      </c>
      <c r="BJ248" s="65">
        <f t="shared" si="198"/>
        <v>0</v>
      </c>
      <c r="BK248" s="65">
        <f t="shared" si="198"/>
        <v>0</v>
      </c>
      <c r="BL248" s="65">
        <f t="shared" si="198"/>
        <v>0</v>
      </c>
      <c r="BM248" s="65">
        <f t="shared" si="198"/>
        <v>0</v>
      </c>
      <c r="BN248" s="65">
        <f t="shared" si="198"/>
        <v>0</v>
      </c>
      <c r="BO248" s="65">
        <f t="shared" si="198"/>
        <v>0</v>
      </c>
      <c r="BP248" s="65">
        <f t="shared" si="198"/>
        <v>0</v>
      </c>
      <c r="BQ248" s="7"/>
      <c r="CI248" s="55" t="s">
        <v>1</v>
      </c>
      <c r="DJ248" s="369" t="s">
        <v>1196</v>
      </c>
      <c r="DK248" s="461" t="s">
        <v>1197</v>
      </c>
      <c r="DL248" s="369" t="s">
        <v>1067</v>
      </c>
      <c r="DM248" s="369" t="s">
        <v>1172</v>
      </c>
      <c r="DN248" s="369" t="s">
        <v>1173</v>
      </c>
      <c r="DO248" s="462" t="s">
        <v>10</v>
      </c>
      <c r="DQ248" s="58" t="s">
        <v>231</v>
      </c>
    </row>
    <row r="249" spans="13:121" ht="19.5" customHeight="1">
      <c r="M249" s="58"/>
      <c r="W249" s="55" t="s">
        <v>1</v>
      </c>
      <c r="Z249" s="55" t="s">
        <v>277</v>
      </c>
      <c r="AB249" s="65">
        <f aca="true" t="shared" si="199" ref="AB249:BP249">IF($BU$119=0,0,IF(AB$128=0,0,1))</f>
        <v>0</v>
      </c>
      <c r="AC249" s="65">
        <f t="shared" si="199"/>
        <v>0</v>
      </c>
      <c r="AD249" s="65">
        <f t="shared" si="199"/>
        <v>0</v>
      </c>
      <c r="AE249" s="65">
        <f t="shared" si="199"/>
        <v>0</v>
      </c>
      <c r="AF249" s="65">
        <f t="shared" si="199"/>
        <v>0</v>
      </c>
      <c r="AG249" s="65">
        <f t="shared" si="199"/>
        <v>0</v>
      </c>
      <c r="AH249" s="65">
        <f t="shared" si="199"/>
        <v>0</v>
      </c>
      <c r="AI249" s="65">
        <f t="shared" si="199"/>
        <v>0</v>
      </c>
      <c r="AJ249" s="65">
        <f t="shared" si="199"/>
        <v>0</v>
      </c>
      <c r="AK249" s="65">
        <f t="shared" si="199"/>
        <v>0</v>
      </c>
      <c r="AL249" s="65">
        <f t="shared" si="199"/>
        <v>0</v>
      </c>
      <c r="AM249" s="65">
        <f t="shared" si="199"/>
        <v>0</v>
      </c>
      <c r="AN249" s="65">
        <f t="shared" si="199"/>
        <v>0</v>
      </c>
      <c r="AO249" s="65">
        <f t="shared" si="199"/>
        <v>0</v>
      </c>
      <c r="AP249" s="65">
        <f t="shared" si="199"/>
        <v>0</v>
      </c>
      <c r="AQ249" s="65">
        <f t="shared" si="199"/>
        <v>0</v>
      </c>
      <c r="AR249" s="65">
        <f t="shared" si="199"/>
        <v>0</v>
      </c>
      <c r="AS249" s="65">
        <f t="shared" si="199"/>
        <v>0</v>
      </c>
      <c r="AT249" s="65">
        <f t="shared" si="199"/>
        <v>0</v>
      </c>
      <c r="AU249" s="65">
        <f t="shared" si="199"/>
        <v>0</v>
      </c>
      <c r="AV249" s="65">
        <f t="shared" si="199"/>
        <v>0</v>
      </c>
      <c r="AW249" s="65">
        <f t="shared" si="199"/>
        <v>0</v>
      </c>
      <c r="AX249" s="65">
        <f t="shared" si="199"/>
        <v>0</v>
      </c>
      <c r="AY249" s="65">
        <f t="shared" si="199"/>
        <v>0</v>
      </c>
      <c r="AZ249" s="65">
        <f t="shared" si="199"/>
        <v>0</v>
      </c>
      <c r="BA249" s="65">
        <f t="shared" si="199"/>
        <v>0</v>
      </c>
      <c r="BB249" s="65">
        <f t="shared" si="199"/>
        <v>0</v>
      </c>
      <c r="BC249" s="65">
        <f t="shared" si="199"/>
        <v>0</v>
      </c>
      <c r="BD249" s="65">
        <f t="shared" si="199"/>
        <v>0</v>
      </c>
      <c r="BE249" s="65">
        <f t="shared" si="199"/>
        <v>0</v>
      </c>
      <c r="BF249" s="65">
        <f t="shared" si="199"/>
        <v>0</v>
      </c>
      <c r="BG249" s="65">
        <f t="shared" si="199"/>
        <v>0</v>
      </c>
      <c r="BH249" s="65">
        <f t="shared" si="199"/>
        <v>0</v>
      </c>
      <c r="BI249" s="65">
        <f t="shared" si="199"/>
        <v>0</v>
      </c>
      <c r="BJ249" s="65">
        <f t="shared" si="199"/>
        <v>0</v>
      </c>
      <c r="BK249" s="65">
        <f t="shared" si="199"/>
        <v>0</v>
      </c>
      <c r="BL249" s="65">
        <f t="shared" si="199"/>
        <v>0</v>
      </c>
      <c r="BM249" s="65">
        <f t="shared" si="199"/>
        <v>0</v>
      </c>
      <c r="BN249" s="65">
        <f t="shared" si="199"/>
        <v>0</v>
      </c>
      <c r="BO249" s="65">
        <f t="shared" si="199"/>
        <v>0</v>
      </c>
      <c r="BP249" s="65">
        <f t="shared" si="199"/>
        <v>0</v>
      </c>
      <c r="BQ249" s="7"/>
      <c r="CI249" s="55" t="s">
        <v>1</v>
      </c>
      <c r="DJ249" s="369" t="s">
        <v>1198</v>
      </c>
      <c r="DK249" s="461" t="s">
        <v>1199</v>
      </c>
      <c r="DL249" s="369" t="s">
        <v>1067</v>
      </c>
      <c r="DM249" s="369" t="s">
        <v>1172</v>
      </c>
      <c r="DN249" s="369" t="s">
        <v>1173</v>
      </c>
      <c r="DO249" s="462" t="s">
        <v>10</v>
      </c>
      <c r="DQ249" s="58" t="s">
        <v>231</v>
      </c>
    </row>
    <row r="250" spans="13:121" ht="19.5" customHeight="1">
      <c r="M250" s="58"/>
      <c r="W250" s="55" t="s">
        <v>1</v>
      </c>
      <c r="AA250" s="55" t="s">
        <v>2</v>
      </c>
      <c r="AB250" s="65" t="s">
        <v>280</v>
      </c>
      <c r="AH250" s="74"/>
      <c r="AV250" s="65" t="s">
        <v>280</v>
      </c>
      <c r="BB250" s="74"/>
      <c r="BP250" s="65" t="s">
        <v>280</v>
      </c>
      <c r="BQ250" s="7"/>
      <c r="CI250" s="55" t="s">
        <v>1</v>
      </c>
      <c r="DJ250" s="369" t="s">
        <v>1200</v>
      </c>
      <c r="DK250" s="461" t="s">
        <v>1201</v>
      </c>
      <c r="DL250" s="369" t="s">
        <v>1067</v>
      </c>
      <c r="DM250" s="369" t="s">
        <v>1172</v>
      </c>
      <c r="DN250" s="369" t="s">
        <v>1173</v>
      </c>
      <c r="DO250" s="462" t="s">
        <v>10</v>
      </c>
      <c r="DQ250" s="58" t="s">
        <v>231</v>
      </c>
    </row>
    <row r="251" spans="13:121" ht="19.5" customHeight="1">
      <c r="M251" s="58"/>
      <c r="W251" s="55" t="s">
        <v>1</v>
      </c>
      <c r="AA251" s="55" t="s">
        <v>2</v>
      </c>
      <c r="AB251" s="65" t="s">
        <v>280</v>
      </c>
      <c r="AG251" s="65" t="s">
        <v>280</v>
      </c>
      <c r="AL251" s="65" t="s">
        <v>280</v>
      </c>
      <c r="AQ251" s="65" t="s">
        <v>280</v>
      </c>
      <c r="AV251" s="65" t="s">
        <v>280</v>
      </c>
      <c r="BA251" s="65" t="s">
        <v>280</v>
      </c>
      <c r="BF251" s="65" t="s">
        <v>280</v>
      </c>
      <c r="BH251" s="7"/>
      <c r="BI251" s="7"/>
      <c r="BJ251" s="7"/>
      <c r="BK251" s="65" t="s">
        <v>280</v>
      </c>
      <c r="BM251" s="7"/>
      <c r="BN251" s="7"/>
      <c r="BO251" s="7"/>
      <c r="BP251" s="65" t="s">
        <v>280</v>
      </c>
      <c r="CI251" s="55" t="s">
        <v>1</v>
      </c>
      <c r="DJ251" s="369" t="s">
        <v>1202</v>
      </c>
      <c r="DK251" s="461" t="s">
        <v>1203</v>
      </c>
      <c r="DL251" s="369" t="s">
        <v>1067</v>
      </c>
      <c r="DM251" s="369" t="s">
        <v>1172</v>
      </c>
      <c r="DN251" s="369" t="s">
        <v>1173</v>
      </c>
      <c r="DO251" s="462" t="s">
        <v>10</v>
      </c>
      <c r="DQ251" s="58" t="s">
        <v>231</v>
      </c>
    </row>
    <row r="252" spans="13:121" ht="19.5" customHeight="1">
      <c r="M252" s="58"/>
      <c r="W252" s="55" t="s">
        <v>1</v>
      </c>
      <c r="AB252" s="58" t="s">
        <v>83</v>
      </c>
      <c r="AG252" s="58" t="s">
        <v>281</v>
      </c>
      <c r="AL252" s="58" t="s">
        <v>84</v>
      </c>
      <c r="AP252" s="7"/>
      <c r="AQ252" s="58" t="s">
        <v>282</v>
      </c>
      <c r="AV252" s="77" t="s">
        <v>85</v>
      </c>
      <c r="BA252" s="58" t="s">
        <v>283</v>
      </c>
      <c r="BF252" s="58" t="s">
        <v>284</v>
      </c>
      <c r="BH252" s="7"/>
      <c r="BI252" s="7"/>
      <c r="BJ252" s="7"/>
      <c r="BK252" s="58" t="s">
        <v>285</v>
      </c>
      <c r="BM252" s="7"/>
      <c r="BN252" s="7"/>
      <c r="BO252" s="7"/>
      <c r="BP252" s="58" t="s">
        <v>286</v>
      </c>
      <c r="BQ252" s="7"/>
      <c r="CI252" s="55" t="s">
        <v>1</v>
      </c>
      <c r="DJ252" s="369" t="s">
        <v>1204</v>
      </c>
      <c r="DK252" s="461" t="s">
        <v>1205</v>
      </c>
      <c r="DL252" s="369" t="s">
        <v>1067</v>
      </c>
      <c r="DM252" s="369" t="s">
        <v>1172</v>
      </c>
      <c r="DN252" s="369" t="s">
        <v>1173</v>
      </c>
      <c r="DO252" s="462" t="s">
        <v>10</v>
      </c>
      <c r="DQ252" s="58" t="s">
        <v>231</v>
      </c>
    </row>
    <row r="253" spans="13:121" ht="19.5" customHeight="1">
      <c r="M253" s="58"/>
      <c r="W253" s="55" t="s">
        <v>1</v>
      </c>
      <c r="CI253" s="55" t="s">
        <v>1</v>
      </c>
      <c r="DJ253" s="369" t="s">
        <v>1206</v>
      </c>
      <c r="DK253" s="461" t="s">
        <v>1207</v>
      </c>
      <c r="DL253" s="369" t="s">
        <v>1067</v>
      </c>
      <c r="DM253" s="369" t="s">
        <v>1172</v>
      </c>
      <c r="DN253" s="369" t="s">
        <v>1173</v>
      </c>
      <c r="DO253" s="462" t="s">
        <v>10</v>
      </c>
      <c r="DQ253" s="58" t="s">
        <v>231</v>
      </c>
    </row>
    <row r="254" spans="13:121" ht="19.5" customHeight="1">
      <c r="M254" s="58"/>
      <c r="W254" s="55" t="s">
        <v>1</v>
      </c>
      <c r="X254" s="59" t="s">
        <v>0</v>
      </c>
      <c r="Y254" s="59" t="s">
        <v>0</v>
      </c>
      <c r="Z254" s="59" t="s">
        <v>0</v>
      </c>
      <c r="AA254" s="59" t="s">
        <v>0</v>
      </c>
      <c r="AB254" s="59" t="s">
        <v>0</v>
      </c>
      <c r="AC254" s="59" t="s">
        <v>0</v>
      </c>
      <c r="AD254" s="59" t="s">
        <v>0</v>
      </c>
      <c r="AE254" s="59" t="s">
        <v>0</v>
      </c>
      <c r="AF254" s="59" t="s">
        <v>0</v>
      </c>
      <c r="AG254" s="59" t="s">
        <v>0</v>
      </c>
      <c r="AH254" s="59" t="s">
        <v>0</v>
      </c>
      <c r="AI254" s="59" t="s">
        <v>0</v>
      </c>
      <c r="AJ254" s="59" t="s">
        <v>0</v>
      </c>
      <c r="AK254" s="59" t="s">
        <v>0</v>
      </c>
      <c r="AL254" s="59" t="s">
        <v>0</v>
      </c>
      <c r="AM254" s="59" t="s">
        <v>0</v>
      </c>
      <c r="AN254" s="59" t="s">
        <v>0</v>
      </c>
      <c r="AO254" s="59" t="s">
        <v>0</v>
      </c>
      <c r="AP254" s="59" t="s">
        <v>0</v>
      </c>
      <c r="AQ254" s="59" t="s">
        <v>0</v>
      </c>
      <c r="AR254" s="59" t="s">
        <v>0</v>
      </c>
      <c r="AS254" s="59" t="s">
        <v>0</v>
      </c>
      <c r="AT254" s="59" t="s">
        <v>0</v>
      </c>
      <c r="AU254" s="59" t="s">
        <v>0</v>
      </c>
      <c r="AV254" s="59" t="s">
        <v>0</v>
      </c>
      <c r="AW254" s="59" t="s">
        <v>0</v>
      </c>
      <c r="AX254" s="59" t="s">
        <v>0</v>
      </c>
      <c r="AY254" s="59" t="s">
        <v>0</v>
      </c>
      <c r="AZ254" s="59" t="s">
        <v>0</v>
      </c>
      <c r="BA254" s="59" t="s">
        <v>0</v>
      </c>
      <c r="BB254" s="59" t="s">
        <v>0</v>
      </c>
      <c r="BC254" s="59" t="s">
        <v>0</v>
      </c>
      <c r="BD254" s="59" t="s">
        <v>0</v>
      </c>
      <c r="BE254" s="59" t="s">
        <v>0</v>
      </c>
      <c r="BF254" s="59" t="s">
        <v>0</v>
      </c>
      <c r="BG254" s="59" t="s">
        <v>0</v>
      </c>
      <c r="BH254" s="59" t="s">
        <v>0</v>
      </c>
      <c r="BI254" s="59" t="s">
        <v>0</v>
      </c>
      <c r="BJ254" s="59" t="s">
        <v>0</v>
      </c>
      <c r="BK254" s="59" t="s">
        <v>0</v>
      </c>
      <c r="BL254" s="59" t="s">
        <v>0</v>
      </c>
      <c r="BM254" s="59" t="s">
        <v>0</v>
      </c>
      <c r="BN254" s="59" t="s">
        <v>0</v>
      </c>
      <c r="BO254" s="59" t="s">
        <v>0</v>
      </c>
      <c r="BP254" s="59" t="s">
        <v>0</v>
      </c>
      <c r="BQ254" s="59" t="s">
        <v>0</v>
      </c>
      <c r="BR254" s="59" t="s">
        <v>0</v>
      </c>
      <c r="BS254" s="59" t="s">
        <v>0</v>
      </c>
      <c r="BT254" s="59" t="s">
        <v>0</v>
      </c>
      <c r="BU254" s="59" t="s">
        <v>0</v>
      </c>
      <c r="BV254" s="59" t="s">
        <v>0</v>
      </c>
      <c r="BW254" s="59" t="s">
        <v>0</v>
      </c>
      <c r="BX254" s="59" t="s">
        <v>0</v>
      </c>
      <c r="BY254" s="59" t="s">
        <v>0</v>
      </c>
      <c r="BZ254" s="59" t="s">
        <v>0</v>
      </c>
      <c r="CA254" s="59" t="s">
        <v>0</v>
      </c>
      <c r="CB254" s="59" t="s">
        <v>0</v>
      </c>
      <c r="CC254" s="59" t="s">
        <v>0</v>
      </c>
      <c r="CD254" s="59" t="s">
        <v>0</v>
      </c>
      <c r="CE254" s="59" t="s">
        <v>0</v>
      </c>
      <c r="CF254" s="59" t="s">
        <v>0</v>
      </c>
      <c r="CG254" s="59" t="s">
        <v>0</v>
      </c>
      <c r="CH254" s="59" t="s">
        <v>0</v>
      </c>
      <c r="CI254" s="55" t="s">
        <v>1</v>
      </c>
      <c r="DJ254" s="369" t="s">
        <v>1208</v>
      </c>
      <c r="DK254" s="461" t="s">
        <v>1209</v>
      </c>
      <c r="DL254" s="369" t="s">
        <v>1067</v>
      </c>
      <c r="DM254" s="369" t="s">
        <v>1172</v>
      </c>
      <c r="DN254" s="369" t="s">
        <v>1173</v>
      </c>
      <c r="DO254" s="462" t="s">
        <v>10</v>
      </c>
      <c r="DQ254" s="58" t="s">
        <v>231</v>
      </c>
    </row>
    <row r="255" spans="13:121" ht="15.75" customHeight="1">
      <c r="M255" s="58"/>
      <c r="DJ255" s="369" t="s">
        <v>1210</v>
      </c>
      <c r="DK255" s="461" t="s">
        <v>1211</v>
      </c>
      <c r="DL255" s="369" t="s">
        <v>1067</v>
      </c>
      <c r="DM255" s="369" t="s">
        <v>1172</v>
      </c>
      <c r="DN255" s="369" t="s">
        <v>1173</v>
      </c>
      <c r="DO255" s="462" t="s">
        <v>10</v>
      </c>
      <c r="DQ255" s="58" t="s">
        <v>231</v>
      </c>
    </row>
    <row r="256" spans="13:121" ht="15.75" customHeight="1">
      <c r="M256" s="58"/>
      <c r="DJ256" s="369" t="s">
        <v>1212</v>
      </c>
      <c r="DK256" s="461" t="s">
        <v>1213</v>
      </c>
      <c r="DL256" s="369" t="s">
        <v>1067</v>
      </c>
      <c r="DM256" s="369" t="s">
        <v>1172</v>
      </c>
      <c r="DN256" s="369" t="s">
        <v>1173</v>
      </c>
      <c r="DO256" s="462" t="s">
        <v>10</v>
      </c>
      <c r="DQ256" s="58" t="s">
        <v>231</v>
      </c>
    </row>
    <row r="257" spans="13:121" ht="15.75" customHeight="1">
      <c r="M257" s="58"/>
      <c r="DJ257" s="369" t="s">
        <v>1214</v>
      </c>
      <c r="DK257" s="461" t="s">
        <v>1215</v>
      </c>
      <c r="DL257" s="369" t="s">
        <v>1067</v>
      </c>
      <c r="DM257" s="369" t="s">
        <v>1172</v>
      </c>
      <c r="DN257" s="369" t="s">
        <v>1173</v>
      </c>
      <c r="DO257" s="462" t="s">
        <v>10</v>
      </c>
      <c r="DQ257" s="58" t="s">
        <v>231</v>
      </c>
    </row>
    <row r="258" spans="13:121" ht="15.75" customHeight="1">
      <c r="M258" s="58"/>
      <c r="DJ258" s="369" t="s">
        <v>1216</v>
      </c>
      <c r="DK258" s="461" t="s">
        <v>1217</v>
      </c>
      <c r="DL258" s="369" t="s">
        <v>1067</v>
      </c>
      <c r="DM258" s="369" t="s">
        <v>1172</v>
      </c>
      <c r="DN258" s="369" t="s">
        <v>1173</v>
      </c>
      <c r="DO258" s="462" t="s">
        <v>10</v>
      </c>
      <c r="DQ258" s="58" t="s">
        <v>231</v>
      </c>
    </row>
    <row r="259" spans="13:121" ht="15.75" customHeight="1">
      <c r="M259" s="58"/>
      <c r="DJ259" s="369" t="s">
        <v>1218</v>
      </c>
      <c r="DK259" s="461" t="s">
        <v>1219</v>
      </c>
      <c r="DL259" s="369" t="s">
        <v>1220</v>
      </c>
      <c r="DM259" s="369" t="s">
        <v>1220</v>
      </c>
      <c r="DN259" s="369" t="s">
        <v>1221</v>
      </c>
      <c r="DO259" s="462" t="s">
        <v>12</v>
      </c>
      <c r="DQ259" s="58" t="s">
        <v>231</v>
      </c>
    </row>
    <row r="260" spans="13:121" ht="15.75" customHeight="1">
      <c r="M260" s="58"/>
      <c r="DJ260" s="369" t="s">
        <v>1222</v>
      </c>
      <c r="DK260" s="463" t="s">
        <v>1223</v>
      </c>
      <c r="DL260" s="369" t="s">
        <v>1220</v>
      </c>
      <c r="DM260" s="369" t="s">
        <v>1220</v>
      </c>
      <c r="DN260" s="369" t="s">
        <v>1221</v>
      </c>
      <c r="DO260" s="462" t="s">
        <v>12</v>
      </c>
      <c r="DQ260" s="58" t="s">
        <v>231</v>
      </c>
    </row>
    <row r="261" spans="13:121" ht="15.75" customHeight="1">
      <c r="M261" s="58"/>
      <c r="DJ261" s="369" t="s">
        <v>1224</v>
      </c>
      <c r="DK261" s="463" t="s">
        <v>1225</v>
      </c>
      <c r="DL261" s="369" t="s">
        <v>1143</v>
      </c>
      <c r="DM261" s="369" t="s">
        <v>1144</v>
      </c>
      <c r="DN261" s="369" t="s">
        <v>1145</v>
      </c>
      <c r="DO261" s="462" t="s">
        <v>1146</v>
      </c>
      <c r="DQ261" s="58" t="s">
        <v>231</v>
      </c>
    </row>
    <row r="262" spans="13:121" ht="15.75" customHeight="1">
      <c r="M262" s="58"/>
      <c r="DJ262" s="369" t="s">
        <v>1226</v>
      </c>
      <c r="DK262" s="463" t="s">
        <v>1227</v>
      </c>
      <c r="DL262" s="369" t="s">
        <v>1143</v>
      </c>
      <c r="DM262" s="369" t="s">
        <v>1144</v>
      </c>
      <c r="DN262" s="369" t="s">
        <v>1145</v>
      </c>
      <c r="DO262" s="462" t="s">
        <v>1146</v>
      </c>
      <c r="DQ262" s="58" t="s">
        <v>231</v>
      </c>
    </row>
    <row r="263" spans="13:121" ht="15.75" customHeight="1">
      <c r="M263" s="58"/>
      <c r="DJ263" s="369" t="s">
        <v>1228</v>
      </c>
      <c r="DK263" s="461" t="s">
        <v>1229</v>
      </c>
      <c r="DL263" s="369" t="s">
        <v>1067</v>
      </c>
      <c r="DM263" s="369" t="s">
        <v>1230</v>
      </c>
      <c r="DN263" s="369" t="s">
        <v>1231</v>
      </c>
      <c r="DO263" s="462" t="s">
        <v>1232</v>
      </c>
      <c r="DQ263" s="58" t="s">
        <v>231</v>
      </c>
    </row>
    <row r="264" spans="13:121" ht="15.75" customHeight="1">
      <c r="M264" s="58"/>
      <c r="DJ264" s="369" t="s">
        <v>1233</v>
      </c>
      <c r="DK264" s="461" t="s">
        <v>1234</v>
      </c>
      <c r="DL264" s="369" t="s">
        <v>1067</v>
      </c>
      <c r="DM264" s="369" t="s">
        <v>1230</v>
      </c>
      <c r="DN264" s="369" t="s">
        <v>1231</v>
      </c>
      <c r="DO264" s="462" t="s">
        <v>1232</v>
      </c>
      <c r="DQ264" s="58" t="s">
        <v>231</v>
      </c>
    </row>
    <row r="265" spans="13:121" ht="15.75" customHeight="1">
      <c r="M265" s="58"/>
      <c r="DJ265" s="369" t="s">
        <v>1235</v>
      </c>
      <c r="DK265" s="463" t="s">
        <v>1236</v>
      </c>
      <c r="DL265" s="369" t="s">
        <v>1067</v>
      </c>
      <c r="DM265" s="369" t="s">
        <v>1230</v>
      </c>
      <c r="DN265" s="369" t="s">
        <v>1231</v>
      </c>
      <c r="DO265" s="462" t="s">
        <v>1232</v>
      </c>
      <c r="DQ265" s="58" t="s">
        <v>231</v>
      </c>
    </row>
    <row r="266" spans="13:121" ht="15.75" customHeight="1">
      <c r="M266" s="58"/>
      <c r="DJ266" s="369" t="s">
        <v>1237</v>
      </c>
      <c r="DK266" s="461" t="s">
        <v>1238</v>
      </c>
      <c r="DL266" s="369" t="s">
        <v>1067</v>
      </c>
      <c r="DM266" s="369" t="s">
        <v>1230</v>
      </c>
      <c r="DN266" s="369" t="s">
        <v>1231</v>
      </c>
      <c r="DO266" s="462" t="s">
        <v>1232</v>
      </c>
      <c r="DQ266" s="58" t="s">
        <v>231</v>
      </c>
    </row>
    <row r="267" spans="13:121" ht="15.75" customHeight="1">
      <c r="M267" s="58"/>
      <c r="DJ267" s="369" t="s">
        <v>1239</v>
      </c>
      <c r="DK267" s="461" t="s">
        <v>1240</v>
      </c>
      <c r="DL267" s="369" t="s">
        <v>1067</v>
      </c>
      <c r="DM267" s="369" t="s">
        <v>1230</v>
      </c>
      <c r="DN267" s="369" t="s">
        <v>1231</v>
      </c>
      <c r="DO267" s="462" t="s">
        <v>1232</v>
      </c>
      <c r="DQ267" s="58" t="s">
        <v>231</v>
      </c>
    </row>
    <row r="268" spans="13:121" ht="15.75" customHeight="1">
      <c r="M268" s="58"/>
      <c r="DJ268" s="369" t="s">
        <v>1241</v>
      </c>
      <c r="DK268" s="461" t="s">
        <v>1242</v>
      </c>
      <c r="DL268" s="369" t="s">
        <v>1067</v>
      </c>
      <c r="DM268" s="369" t="s">
        <v>1230</v>
      </c>
      <c r="DN268" s="369" t="s">
        <v>1231</v>
      </c>
      <c r="DO268" s="462" t="s">
        <v>1232</v>
      </c>
      <c r="DQ268" s="58" t="s">
        <v>231</v>
      </c>
    </row>
    <row r="269" spans="13:121" ht="15.75" customHeight="1">
      <c r="M269" s="58"/>
      <c r="DJ269" s="369" t="s">
        <v>1243</v>
      </c>
      <c r="DK269" s="461" t="s">
        <v>1244</v>
      </c>
      <c r="DL269" s="369" t="s">
        <v>1067</v>
      </c>
      <c r="DM269" s="369" t="s">
        <v>1230</v>
      </c>
      <c r="DN269" s="369" t="s">
        <v>1231</v>
      </c>
      <c r="DO269" s="462" t="s">
        <v>1232</v>
      </c>
      <c r="DQ269" s="58" t="s">
        <v>231</v>
      </c>
    </row>
    <row r="270" spans="13:121" ht="15.75" customHeight="1">
      <c r="M270" s="58"/>
      <c r="DJ270" s="369" t="s">
        <v>1245</v>
      </c>
      <c r="DK270" s="461" t="s">
        <v>1246</v>
      </c>
      <c r="DL270" s="369" t="s">
        <v>1067</v>
      </c>
      <c r="DM270" s="369" t="s">
        <v>1230</v>
      </c>
      <c r="DN270" s="369" t="s">
        <v>1231</v>
      </c>
      <c r="DO270" s="462" t="s">
        <v>1232</v>
      </c>
      <c r="DQ270" s="58" t="s">
        <v>231</v>
      </c>
    </row>
    <row r="271" spans="13:121" ht="15.75" customHeight="1">
      <c r="M271" s="58"/>
      <c r="DJ271" s="369" t="s">
        <v>1247</v>
      </c>
      <c r="DK271" s="461" t="s">
        <v>1248</v>
      </c>
      <c r="DL271" s="369" t="s">
        <v>732</v>
      </c>
      <c r="DM271" s="369" t="s">
        <v>1249</v>
      </c>
      <c r="DN271" s="369" t="s">
        <v>1250</v>
      </c>
      <c r="DO271" s="462" t="s">
        <v>1251</v>
      </c>
      <c r="DQ271" s="58" t="s">
        <v>231</v>
      </c>
    </row>
    <row r="272" spans="13:121" ht="15.75" customHeight="1">
      <c r="M272" s="58"/>
      <c r="DJ272" s="369" t="s">
        <v>1252</v>
      </c>
      <c r="DK272" s="461" t="s">
        <v>1253</v>
      </c>
      <c r="DL272" s="369" t="s">
        <v>732</v>
      </c>
      <c r="DM272" s="369" t="s">
        <v>1249</v>
      </c>
      <c r="DN272" s="369" t="s">
        <v>1250</v>
      </c>
      <c r="DO272" s="462" t="s">
        <v>1251</v>
      </c>
      <c r="DQ272" s="58" t="s">
        <v>231</v>
      </c>
    </row>
    <row r="273" spans="13:121" ht="15.75" customHeight="1">
      <c r="M273" s="58"/>
      <c r="DJ273" s="369" t="s">
        <v>1254</v>
      </c>
      <c r="DK273" s="461" t="s">
        <v>1255</v>
      </c>
      <c r="DL273" s="369" t="s">
        <v>732</v>
      </c>
      <c r="DM273" s="369" t="s">
        <v>1249</v>
      </c>
      <c r="DN273" s="369" t="s">
        <v>1250</v>
      </c>
      <c r="DO273" s="462" t="s">
        <v>1251</v>
      </c>
      <c r="DQ273" s="58" t="s">
        <v>231</v>
      </c>
    </row>
    <row r="274" spans="13:121" ht="15.75" customHeight="1">
      <c r="M274" s="58"/>
      <c r="DJ274" s="369" t="s">
        <v>1256</v>
      </c>
      <c r="DK274" s="461" t="s">
        <v>1257</v>
      </c>
      <c r="DL274" s="369" t="s">
        <v>732</v>
      </c>
      <c r="DM274" s="369" t="s">
        <v>1249</v>
      </c>
      <c r="DN274" s="369" t="s">
        <v>1250</v>
      </c>
      <c r="DO274" s="462" t="s">
        <v>1251</v>
      </c>
      <c r="DQ274" s="58" t="s">
        <v>231</v>
      </c>
    </row>
    <row r="275" spans="13:121" ht="15.75" customHeight="1">
      <c r="M275" s="58"/>
      <c r="DJ275" s="369" t="s">
        <v>1258</v>
      </c>
      <c r="DK275" s="461" t="s">
        <v>1259</v>
      </c>
      <c r="DL275" s="369" t="s">
        <v>732</v>
      </c>
      <c r="DM275" s="369" t="s">
        <v>1260</v>
      </c>
      <c r="DN275" s="369" t="s">
        <v>1261</v>
      </c>
      <c r="DO275" s="462" t="s">
        <v>1262</v>
      </c>
      <c r="DQ275" s="58" t="s">
        <v>231</v>
      </c>
    </row>
    <row r="276" spans="13:121" ht="15.75" customHeight="1">
      <c r="M276" s="58"/>
      <c r="DJ276" s="369" t="s">
        <v>1263</v>
      </c>
      <c r="DK276" s="463" t="s">
        <v>1264</v>
      </c>
      <c r="DL276" s="369" t="s">
        <v>732</v>
      </c>
      <c r="DM276" s="369" t="s">
        <v>1260</v>
      </c>
      <c r="DN276" s="369" t="s">
        <v>1261</v>
      </c>
      <c r="DO276" s="462" t="s">
        <v>1262</v>
      </c>
      <c r="DQ276" s="58" t="s">
        <v>231</v>
      </c>
    </row>
    <row r="277" spans="13:121" ht="15.75" customHeight="1">
      <c r="M277" s="58"/>
      <c r="DJ277" s="369" t="s">
        <v>1265</v>
      </c>
      <c r="DK277" s="463" t="s">
        <v>1266</v>
      </c>
      <c r="DL277" s="369" t="s">
        <v>732</v>
      </c>
      <c r="DM277" s="369" t="s">
        <v>1267</v>
      </c>
      <c r="DN277" s="369" t="s">
        <v>1268</v>
      </c>
      <c r="DO277" s="462" t="s">
        <v>1269</v>
      </c>
      <c r="DQ277" s="58" t="s">
        <v>231</v>
      </c>
    </row>
    <row r="278" spans="13:121" ht="15.75" customHeight="1">
      <c r="M278" s="58"/>
      <c r="DJ278" s="369" t="s">
        <v>1270</v>
      </c>
      <c r="DK278" s="461" t="s">
        <v>1271</v>
      </c>
      <c r="DL278" s="369" t="s">
        <v>732</v>
      </c>
      <c r="DM278" s="369" t="s">
        <v>1267</v>
      </c>
      <c r="DN278" s="369" t="s">
        <v>1268</v>
      </c>
      <c r="DO278" s="462" t="s">
        <v>1269</v>
      </c>
      <c r="DQ278" s="58" t="s">
        <v>231</v>
      </c>
    </row>
    <row r="279" spans="13:121" ht="15.75" customHeight="1">
      <c r="M279" s="58"/>
      <c r="DJ279" s="369" t="s">
        <v>1272</v>
      </c>
      <c r="DK279" s="461" t="s">
        <v>1273</v>
      </c>
      <c r="DL279" s="369" t="s">
        <v>732</v>
      </c>
      <c r="DM279" s="369" t="s">
        <v>1267</v>
      </c>
      <c r="DN279" s="369" t="s">
        <v>1268</v>
      </c>
      <c r="DO279" s="462" t="s">
        <v>1269</v>
      </c>
      <c r="DQ279" s="58" t="s">
        <v>231</v>
      </c>
    </row>
    <row r="280" spans="13:121" ht="15.75" customHeight="1">
      <c r="M280" s="58"/>
      <c r="DJ280" s="369" t="s">
        <v>1274</v>
      </c>
      <c r="DK280" s="463" t="s">
        <v>1275</v>
      </c>
      <c r="DL280" s="369" t="s">
        <v>732</v>
      </c>
      <c r="DM280" s="369" t="s">
        <v>1267</v>
      </c>
      <c r="DN280" s="369" t="s">
        <v>1268</v>
      </c>
      <c r="DO280" s="462" t="s">
        <v>1269</v>
      </c>
      <c r="DQ280" s="58" t="s">
        <v>231</v>
      </c>
    </row>
    <row r="281" spans="13:121" ht="15.75" customHeight="1">
      <c r="M281" s="58"/>
      <c r="W281" s="59"/>
      <c r="DJ281" s="369" t="s">
        <v>1276</v>
      </c>
      <c r="DK281" s="461" t="s">
        <v>1277</v>
      </c>
      <c r="DL281" s="369" t="s">
        <v>1067</v>
      </c>
      <c r="DM281" s="369" t="s">
        <v>1127</v>
      </c>
      <c r="DN281" s="369" t="s">
        <v>1128</v>
      </c>
      <c r="DO281" s="462" t="s">
        <v>1129</v>
      </c>
      <c r="DQ281" s="58" t="s">
        <v>231</v>
      </c>
    </row>
    <row r="282" spans="13:121" ht="15.75" customHeight="1">
      <c r="M282" s="58"/>
      <c r="DJ282" s="369" t="s">
        <v>1278</v>
      </c>
      <c r="DK282" s="461" t="s">
        <v>1279</v>
      </c>
      <c r="DL282" s="369" t="s">
        <v>732</v>
      </c>
      <c r="DM282" s="369" t="s">
        <v>1267</v>
      </c>
      <c r="DN282" s="369" t="s">
        <v>1268</v>
      </c>
      <c r="DO282" s="462" t="s">
        <v>1269</v>
      </c>
      <c r="DQ282" s="58" t="s">
        <v>231</v>
      </c>
    </row>
    <row r="283" spans="13:121" ht="15.75" customHeight="1">
      <c r="M283" s="58"/>
      <c r="DJ283" s="369" t="s">
        <v>1280</v>
      </c>
      <c r="DK283" s="461" t="s">
        <v>1281</v>
      </c>
      <c r="DL283" s="369" t="s">
        <v>732</v>
      </c>
      <c r="DM283" s="369" t="s">
        <v>1267</v>
      </c>
      <c r="DN283" s="369" t="s">
        <v>1268</v>
      </c>
      <c r="DO283" s="462" t="s">
        <v>1269</v>
      </c>
      <c r="DQ283" s="58" t="s">
        <v>231</v>
      </c>
    </row>
    <row r="284" spans="13:121" ht="15.75" customHeight="1">
      <c r="M284" s="58"/>
      <c r="DJ284" s="369" t="s">
        <v>1282</v>
      </c>
      <c r="DK284" s="461" t="s">
        <v>1283</v>
      </c>
      <c r="DL284" s="369" t="s">
        <v>1284</v>
      </c>
      <c r="DM284" s="369" t="s">
        <v>1284</v>
      </c>
      <c r="DN284" s="369" t="s">
        <v>1285</v>
      </c>
      <c r="DO284" s="462" t="s">
        <v>373</v>
      </c>
      <c r="DQ284" s="58" t="s">
        <v>231</v>
      </c>
    </row>
    <row r="285" spans="13:121" ht="15.75" customHeight="1">
      <c r="M285" s="58"/>
      <c r="DJ285" s="369" t="s">
        <v>1286</v>
      </c>
      <c r="DK285" s="463" t="s">
        <v>1287</v>
      </c>
      <c r="DL285" s="369" t="s">
        <v>1284</v>
      </c>
      <c r="DM285" s="369" t="s">
        <v>1284</v>
      </c>
      <c r="DN285" s="369" t="s">
        <v>1285</v>
      </c>
      <c r="DO285" s="462" t="s">
        <v>373</v>
      </c>
      <c r="DQ285" s="58" t="s">
        <v>231</v>
      </c>
    </row>
    <row r="286" spans="13:121" ht="15.75" customHeight="1">
      <c r="M286" s="58"/>
      <c r="DJ286" s="369" t="s">
        <v>1288</v>
      </c>
      <c r="DK286" s="461" t="s">
        <v>1289</v>
      </c>
      <c r="DL286" s="369" t="s">
        <v>1284</v>
      </c>
      <c r="DM286" s="369" t="s">
        <v>1284</v>
      </c>
      <c r="DN286" s="369" t="s">
        <v>1285</v>
      </c>
      <c r="DO286" s="462" t="s">
        <v>373</v>
      </c>
      <c r="DQ286" s="58" t="s">
        <v>231</v>
      </c>
    </row>
    <row r="287" spans="13:121" ht="15.75" customHeight="1">
      <c r="M287" s="58"/>
      <c r="DJ287" s="369" t="s">
        <v>1290</v>
      </c>
      <c r="DK287" s="461" t="s">
        <v>1291</v>
      </c>
      <c r="DL287" s="369" t="s">
        <v>1284</v>
      </c>
      <c r="DM287" s="369" t="s">
        <v>1284</v>
      </c>
      <c r="DN287" s="369" t="s">
        <v>1285</v>
      </c>
      <c r="DO287" s="462" t="s">
        <v>373</v>
      </c>
      <c r="DQ287" s="58" t="s">
        <v>231</v>
      </c>
    </row>
    <row r="288" spans="13:121" ht="15.75" customHeight="1">
      <c r="M288" s="58"/>
      <c r="DJ288" s="369" t="s">
        <v>1292</v>
      </c>
      <c r="DK288" s="461" t="s">
        <v>1293</v>
      </c>
      <c r="DL288" s="369" t="s">
        <v>1284</v>
      </c>
      <c r="DM288" s="369" t="s">
        <v>1284</v>
      </c>
      <c r="DN288" s="369" t="s">
        <v>1285</v>
      </c>
      <c r="DO288" s="462" t="s">
        <v>373</v>
      </c>
      <c r="DQ288" s="58" t="s">
        <v>231</v>
      </c>
    </row>
    <row r="289" spans="13:121" ht="15.75" customHeight="1">
      <c r="M289" s="58"/>
      <c r="DJ289" s="369" t="s">
        <v>1294</v>
      </c>
      <c r="DK289" s="461" t="s">
        <v>1295</v>
      </c>
      <c r="DL289" s="369" t="s">
        <v>1284</v>
      </c>
      <c r="DM289" s="369" t="s">
        <v>1284</v>
      </c>
      <c r="DN289" s="369" t="s">
        <v>1285</v>
      </c>
      <c r="DO289" s="462" t="s">
        <v>373</v>
      </c>
      <c r="DQ289" s="58" t="s">
        <v>231</v>
      </c>
    </row>
    <row r="290" spans="13:121" ht="15.75" customHeight="1">
      <c r="M290" s="58"/>
      <c r="DJ290" s="369" t="s">
        <v>1296</v>
      </c>
      <c r="DK290" s="461" t="s">
        <v>1297</v>
      </c>
      <c r="DL290" s="369" t="s">
        <v>1284</v>
      </c>
      <c r="DM290" s="369" t="s">
        <v>1284</v>
      </c>
      <c r="DN290" s="369" t="s">
        <v>1285</v>
      </c>
      <c r="DO290" s="462" t="s">
        <v>373</v>
      </c>
      <c r="DQ290" s="58" t="s">
        <v>231</v>
      </c>
    </row>
    <row r="291" spans="13:121" ht="15.75" customHeight="1">
      <c r="M291" s="58"/>
      <c r="DJ291" s="369" t="s">
        <v>1298</v>
      </c>
      <c r="DK291" s="461" t="s">
        <v>1299</v>
      </c>
      <c r="DL291" s="369" t="s">
        <v>1284</v>
      </c>
      <c r="DM291" s="369" t="s">
        <v>1284</v>
      </c>
      <c r="DN291" s="369" t="s">
        <v>1285</v>
      </c>
      <c r="DO291" s="462" t="s">
        <v>373</v>
      </c>
      <c r="DQ291" s="58" t="s">
        <v>231</v>
      </c>
    </row>
    <row r="292" spans="13:121" ht="15.75" customHeight="1">
      <c r="M292" s="58"/>
      <c r="DJ292" s="369" t="s">
        <v>1300</v>
      </c>
      <c r="DK292" s="461" t="s">
        <v>1301</v>
      </c>
      <c r="DL292" s="369" t="s">
        <v>1067</v>
      </c>
      <c r="DM292" s="369" t="s">
        <v>1127</v>
      </c>
      <c r="DN292" s="369" t="s">
        <v>1128</v>
      </c>
      <c r="DO292" s="462" t="s">
        <v>1129</v>
      </c>
      <c r="DQ292" s="58" t="s">
        <v>231</v>
      </c>
    </row>
    <row r="293" spans="13:121" ht="15.75" customHeight="1">
      <c r="M293" s="58"/>
      <c r="DJ293" s="369" t="s">
        <v>1302</v>
      </c>
      <c r="DK293" s="461" t="s">
        <v>1303</v>
      </c>
      <c r="DL293" s="369" t="s">
        <v>1304</v>
      </c>
      <c r="DM293" s="369" t="s">
        <v>1304</v>
      </c>
      <c r="DN293" s="369" t="s">
        <v>1305</v>
      </c>
      <c r="DO293" s="462" t="s">
        <v>1306</v>
      </c>
      <c r="DQ293" s="58" t="s">
        <v>231</v>
      </c>
    </row>
    <row r="294" spans="114:121" ht="15.75" customHeight="1">
      <c r="DJ294" s="369" t="s">
        <v>1307</v>
      </c>
      <c r="DK294" s="461" t="s">
        <v>1308</v>
      </c>
      <c r="DL294" s="369" t="s">
        <v>1304</v>
      </c>
      <c r="DM294" s="369" t="s">
        <v>1304</v>
      </c>
      <c r="DN294" s="369" t="s">
        <v>1305</v>
      </c>
      <c r="DO294" s="462" t="s">
        <v>1306</v>
      </c>
      <c r="DQ294" s="58" t="s">
        <v>231</v>
      </c>
    </row>
    <row r="295" spans="114:121" ht="15.75" customHeight="1">
      <c r="DJ295" s="369" t="s">
        <v>1309</v>
      </c>
      <c r="DK295" s="461" t="s">
        <v>1310</v>
      </c>
      <c r="DL295" s="369" t="s">
        <v>1304</v>
      </c>
      <c r="DM295" s="369" t="s">
        <v>1304</v>
      </c>
      <c r="DN295" s="369" t="s">
        <v>1305</v>
      </c>
      <c r="DO295" s="462" t="s">
        <v>1306</v>
      </c>
      <c r="DQ295" s="58" t="s">
        <v>231</v>
      </c>
    </row>
    <row r="296" spans="114:121" ht="15.75" customHeight="1">
      <c r="DJ296" s="369" t="s">
        <v>1311</v>
      </c>
      <c r="DK296" s="461" t="s">
        <v>1312</v>
      </c>
      <c r="DL296" s="369" t="s">
        <v>1304</v>
      </c>
      <c r="DM296" s="369" t="s">
        <v>1304</v>
      </c>
      <c r="DN296" s="369" t="s">
        <v>1305</v>
      </c>
      <c r="DO296" s="462" t="s">
        <v>1306</v>
      </c>
      <c r="DQ296" s="58" t="s">
        <v>231</v>
      </c>
    </row>
    <row r="297" spans="114:121" ht="15.75" customHeight="1">
      <c r="DJ297" s="369" t="s">
        <v>1313</v>
      </c>
      <c r="DK297" s="461" t="s">
        <v>1314</v>
      </c>
      <c r="DL297" s="369" t="s">
        <v>1304</v>
      </c>
      <c r="DM297" s="369" t="s">
        <v>1304</v>
      </c>
      <c r="DN297" s="369" t="s">
        <v>1305</v>
      </c>
      <c r="DO297" s="462" t="s">
        <v>1306</v>
      </c>
      <c r="DQ297" s="58" t="s">
        <v>231</v>
      </c>
    </row>
    <row r="298" spans="114:121" ht="15.75" customHeight="1">
      <c r="DJ298" s="369" t="s">
        <v>1315</v>
      </c>
      <c r="DK298" s="461" t="s">
        <v>1316</v>
      </c>
      <c r="DL298" s="369" t="s">
        <v>1304</v>
      </c>
      <c r="DM298" s="369" t="s">
        <v>1304</v>
      </c>
      <c r="DN298" s="369" t="s">
        <v>1305</v>
      </c>
      <c r="DO298" s="462" t="s">
        <v>1306</v>
      </c>
      <c r="DQ298" s="58" t="s">
        <v>231</v>
      </c>
    </row>
    <row r="299" spans="114:121" ht="15.75" customHeight="1">
      <c r="DJ299" s="369" t="s">
        <v>1317</v>
      </c>
      <c r="DK299" s="461" t="s">
        <v>1318</v>
      </c>
      <c r="DL299" s="369" t="s">
        <v>1304</v>
      </c>
      <c r="DM299" s="369" t="s">
        <v>1304</v>
      </c>
      <c r="DN299" s="369" t="s">
        <v>1305</v>
      </c>
      <c r="DO299" s="462" t="s">
        <v>1306</v>
      </c>
      <c r="DQ299" s="58" t="s">
        <v>231</v>
      </c>
    </row>
    <row r="300" spans="114:121" ht="15.75" customHeight="1">
      <c r="DJ300" s="369" t="s">
        <v>1319</v>
      </c>
      <c r="DK300" s="461" t="s">
        <v>1320</v>
      </c>
      <c r="DL300" s="369" t="s">
        <v>1304</v>
      </c>
      <c r="DM300" s="369" t="s">
        <v>1304</v>
      </c>
      <c r="DN300" s="369" t="s">
        <v>1305</v>
      </c>
      <c r="DO300" s="462" t="s">
        <v>1306</v>
      </c>
      <c r="DQ300" s="58" t="s">
        <v>231</v>
      </c>
    </row>
    <row r="301" spans="114:121" ht="15.75" customHeight="1">
      <c r="DJ301" s="369" t="s">
        <v>1321</v>
      </c>
      <c r="DK301" s="461" t="s">
        <v>1322</v>
      </c>
      <c r="DL301" s="369" t="s">
        <v>1323</v>
      </c>
      <c r="DM301" s="369" t="s">
        <v>1323</v>
      </c>
      <c r="DN301" s="369" t="s">
        <v>1324</v>
      </c>
      <c r="DO301" s="462" t="s">
        <v>1325</v>
      </c>
      <c r="DQ301" s="58" t="s">
        <v>231</v>
      </c>
    </row>
    <row r="302" spans="114:121" ht="15.75" customHeight="1">
      <c r="DJ302" s="369" t="s">
        <v>1326</v>
      </c>
      <c r="DK302" s="461" t="s">
        <v>1327</v>
      </c>
      <c r="DL302" s="369" t="s">
        <v>1328</v>
      </c>
      <c r="DM302" s="369" t="s">
        <v>1329</v>
      </c>
      <c r="DN302" s="369" t="s">
        <v>1330</v>
      </c>
      <c r="DO302" s="462" t="s">
        <v>1331</v>
      </c>
      <c r="DQ302" s="58" t="s">
        <v>231</v>
      </c>
    </row>
    <row r="303" spans="114:121" ht="15.75" customHeight="1">
      <c r="DJ303" s="369" t="s">
        <v>1332</v>
      </c>
      <c r="DK303" s="461" t="s">
        <v>1333</v>
      </c>
      <c r="DL303" s="369" t="s">
        <v>1328</v>
      </c>
      <c r="DM303" s="369" t="s">
        <v>1329</v>
      </c>
      <c r="DN303" s="369" t="s">
        <v>1330</v>
      </c>
      <c r="DO303" s="462" t="s">
        <v>1331</v>
      </c>
      <c r="DQ303" s="58" t="s">
        <v>231</v>
      </c>
    </row>
    <row r="304" spans="114:121" ht="15.75" customHeight="1">
      <c r="DJ304" s="369" t="s">
        <v>1334</v>
      </c>
      <c r="DK304" s="461" t="s">
        <v>1335</v>
      </c>
      <c r="DL304" s="369" t="s">
        <v>1328</v>
      </c>
      <c r="DM304" s="369" t="s">
        <v>1329</v>
      </c>
      <c r="DN304" s="369" t="s">
        <v>1330</v>
      </c>
      <c r="DO304" s="462" t="s">
        <v>1331</v>
      </c>
      <c r="DQ304" s="58" t="s">
        <v>231</v>
      </c>
    </row>
    <row r="305" spans="114:121" ht="15.75" customHeight="1">
      <c r="DJ305" s="369" t="s">
        <v>1336</v>
      </c>
      <c r="DK305" s="461" t="s">
        <v>1337</v>
      </c>
      <c r="DL305" s="369" t="s">
        <v>1328</v>
      </c>
      <c r="DM305" s="369" t="s">
        <v>1329</v>
      </c>
      <c r="DN305" s="369" t="s">
        <v>1330</v>
      </c>
      <c r="DO305" s="462" t="s">
        <v>1331</v>
      </c>
      <c r="DQ305" s="58" t="s">
        <v>231</v>
      </c>
    </row>
    <row r="306" spans="114:121" ht="15.75" customHeight="1">
      <c r="DJ306" s="369" t="s">
        <v>1338</v>
      </c>
      <c r="DK306" s="461" t="s">
        <v>1339</v>
      </c>
      <c r="DL306" s="369" t="s">
        <v>652</v>
      </c>
      <c r="DM306" s="369" t="s">
        <v>890</v>
      </c>
      <c r="DN306" s="369" t="s">
        <v>891</v>
      </c>
      <c r="DO306" s="462" t="s">
        <v>892</v>
      </c>
      <c r="DQ306" s="58" t="s">
        <v>231</v>
      </c>
    </row>
    <row r="307" spans="114:121" ht="15.75" customHeight="1">
      <c r="DJ307" s="369" t="s">
        <v>1340</v>
      </c>
      <c r="DK307" s="461" t="s">
        <v>1341</v>
      </c>
      <c r="DL307" s="369" t="s">
        <v>663</v>
      </c>
      <c r="DM307" s="369" t="s">
        <v>1342</v>
      </c>
      <c r="DN307" s="369" t="s">
        <v>1343</v>
      </c>
      <c r="DO307" s="462" t="s">
        <v>1344</v>
      </c>
      <c r="DQ307" s="58" t="s">
        <v>231</v>
      </c>
    </row>
    <row r="308" spans="114:121" ht="15.75" customHeight="1">
      <c r="DJ308" s="369" t="s">
        <v>1345</v>
      </c>
      <c r="DK308" s="463" t="s">
        <v>1346</v>
      </c>
      <c r="DL308" s="369" t="s">
        <v>663</v>
      </c>
      <c r="DM308" s="369" t="s">
        <v>1342</v>
      </c>
      <c r="DN308" s="369" t="s">
        <v>1343</v>
      </c>
      <c r="DO308" s="462" t="s">
        <v>1344</v>
      </c>
      <c r="DQ308" s="58" t="s">
        <v>231</v>
      </c>
    </row>
    <row r="309" spans="114:121" ht="15.75" customHeight="1">
      <c r="DJ309" s="369" t="s">
        <v>1347</v>
      </c>
      <c r="DK309" s="461" t="s">
        <v>1348</v>
      </c>
      <c r="DL309" s="369" t="s">
        <v>1328</v>
      </c>
      <c r="DM309" s="369" t="s">
        <v>1329</v>
      </c>
      <c r="DN309" s="369" t="s">
        <v>1330</v>
      </c>
      <c r="DO309" s="462" t="s">
        <v>1331</v>
      </c>
      <c r="DQ309" s="58" t="s">
        <v>231</v>
      </c>
    </row>
    <row r="310" spans="114:121" ht="15.75" customHeight="1">
      <c r="DJ310" s="369" t="s">
        <v>1349</v>
      </c>
      <c r="DK310" s="461" t="s">
        <v>1350</v>
      </c>
      <c r="DL310" s="369" t="s">
        <v>1351</v>
      </c>
      <c r="DM310" s="369" t="s">
        <v>1351</v>
      </c>
      <c r="DN310" s="369" t="s">
        <v>1352</v>
      </c>
      <c r="DO310" s="462" t="s">
        <v>1353</v>
      </c>
      <c r="DQ310" s="58" t="s">
        <v>231</v>
      </c>
    </row>
    <row r="311" spans="114:121" ht="15.75" customHeight="1">
      <c r="DJ311" s="369" t="s">
        <v>1354</v>
      </c>
      <c r="DK311" s="463" t="s">
        <v>1355</v>
      </c>
      <c r="DL311" s="369" t="s">
        <v>1351</v>
      </c>
      <c r="DM311" s="369" t="s">
        <v>1356</v>
      </c>
      <c r="DN311" s="369" t="s">
        <v>1357</v>
      </c>
      <c r="DO311" s="462" t="s">
        <v>1358</v>
      </c>
      <c r="DQ311" s="58" t="s">
        <v>231</v>
      </c>
    </row>
    <row r="312" spans="114:121" ht="15.75" customHeight="1">
      <c r="DJ312" s="369" t="s">
        <v>1359</v>
      </c>
      <c r="DK312" s="461" t="s">
        <v>1360</v>
      </c>
      <c r="DL312" s="369" t="s">
        <v>1351</v>
      </c>
      <c r="DM312" s="369" t="s">
        <v>1361</v>
      </c>
      <c r="DN312" s="369" t="s">
        <v>1362</v>
      </c>
      <c r="DO312" s="462" t="s">
        <v>1363</v>
      </c>
      <c r="DQ312" s="58" t="s">
        <v>231</v>
      </c>
    </row>
    <row r="313" spans="114:121" ht="15.75" customHeight="1">
      <c r="DJ313" s="369" t="s">
        <v>1364</v>
      </c>
      <c r="DK313" s="461" t="s">
        <v>1365</v>
      </c>
      <c r="DL313" s="369" t="s">
        <v>1351</v>
      </c>
      <c r="DM313" s="369" t="s">
        <v>1361</v>
      </c>
      <c r="DN313" s="369" t="s">
        <v>1362</v>
      </c>
      <c r="DO313" s="462" t="s">
        <v>1363</v>
      </c>
      <c r="DQ313" s="58" t="s">
        <v>231</v>
      </c>
    </row>
    <row r="314" spans="114:121" ht="15.75" customHeight="1">
      <c r="DJ314" s="369" t="s">
        <v>1366</v>
      </c>
      <c r="DK314" s="463" t="s">
        <v>1367</v>
      </c>
      <c r="DL314" s="369" t="s">
        <v>1351</v>
      </c>
      <c r="DM314" s="369" t="s">
        <v>1356</v>
      </c>
      <c r="DN314" s="369" t="s">
        <v>1357</v>
      </c>
      <c r="DO314" s="462" t="s">
        <v>1358</v>
      </c>
      <c r="DQ314" s="58" t="s">
        <v>231</v>
      </c>
    </row>
    <row r="315" spans="114:121" ht="15.75" customHeight="1">
      <c r="DJ315" s="369" t="s">
        <v>1368</v>
      </c>
      <c r="DK315" s="461" t="s">
        <v>1369</v>
      </c>
      <c r="DL315" s="369" t="s">
        <v>1351</v>
      </c>
      <c r="DM315" s="369" t="s">
        <v>1356</v>
      </c>
      <c r="DN315" s="369" t="s">
        <v>1357</v>
      </c>
      <c r="DO315" s="462" t="s">
        <v>1358</v>
      </c>
      <c r="DQ315" s="58" t="s">
        <v>231</v>
      </c>
    </row>
    <row r="316" spans="114:121" ht="15.75" customHeight="1">
      <c r="DJ316" s="369" t="s">
        <v>1370</v>
      </c>
      <c r="DK316" s="461" t="s">
        <v>1371</v>
      </c>
      <c r="DL316" s="369" t="s">
        <v>1351</v>
      </c>
      <c r="DM316" s="369" t="s">
        <v>1356</v>
      </c>
      <c r="DN316" s="369" t="s">
        <v>1357</v>
      </c>
      <c r="DO316" s="462" t="s">
        <v>1358</v>
      </c>
      <c r="DQ316" s="58" t="s">
        <v>231</v>
      </c>
    </row>
    <row r="317" spans="114:121" ht="15.75" customHeight="1">
      <c r="DJ317" s="369" t="s">
        <v>1372</v>
      </c>
      <c r="DK317" s="461" t="s">
        <v>1373</v>
      </c>
      <c r="DL317" s="369" t="s">
        <v>1351</v>
      </c>
      <c r="DM317" s="369" t="s">
        <v>1351</v>
      </c>
      <c r="DN317" s="369" t="s">
        <v>1352</v>
      </c>
      <c r="DO317" s="462" t="s">
        <v>1353</v>
      </c>
      <c r="DQ317" s="58" t="s">
        <v>231</v>
      </c>
    </row>
    <row r="318" spans="114:121" ht="15.75" customHeight="1">
      <c r="DJ318" s="369" t="s">
        <v>1374</v>
      </c>
      <c r="DK318" s="461" t="s">
        <v>1375</v>
      </c>
      <c r="DL318" s="369" t="s">
        <v>1351</v>
      </c>
      <c r="DM318" s="369" t="s">
        <v>1351</v>
      </c>
      <c r="DN318" s="369" t="s">
        <v>1352</v>
      </c>
      <c r="DO318" s="462" t="s">
        <v>1353</v>
      </c>
      <c r="DQ318" s="58" t="s">
        <v>231</v>
      </c>
    </row>
    <row r="319" spans="114:121" ht="15.75" customHeight="1">
      <c r="DJ319" s="369" t="s">
        <v>1376</v>
      </c>
      <c r="DK319" s="461" t="s">
        <v>1377</v>
      </c>
      <c r="DL319" s="369" t="s">
        <v>1351</v>
      </c>
      <c r="DM319" s="369" t="s">
        <v>1351</v>
      </c>
      <c r="DN319" s="369" t="s">
        <v>1352</v>
      </c>
      <c r="DO319" s="462" t="s">
        <v>1353</v>
      </c>
      <c r="DQ319" s="58" t="s">
        <v>231</v>
      </c>
    </row>
    <row r="320" spans="114:121" ht="15.75" customHeight="1">
      <c r="DJ320" s="369" t="s">
        <v>1378</v>
      </c>
      <c r="DK320" s="461" t="s">
        <v>1379</v>
      </c>
      <c r="DL320" s="369" t="s">
        <v>1351</v>
      </c>
      <c r="DM320" s="369" t="s">
        <v>1351</v>
      </c>
      <c r="DN320" s="369" t="s">
        <v>1352</v>
      </c>
      <c r="DO320" s="462" t="s">
        <v>1353</v>
      </c>
      <c r="DQ320" s="58" t="s">
        <v>231</v>
      </c>
    </row>
    <row r="321" spans="114:121" ht="15.75" customHeight="1">
      <c r="DJ321" s="369" t="s">
        <v>1380</v>
      </c>
      <c r="DK321" s="463" t="s">
        <v>1381</v>
      </c>
      <c r="DL321" s="369" t="s">
        <v>1351</v>
      </c>
      <c r="DM321" s="369" t="s">
        <v>1351</v>
      </c>
      <c r="DN321" s="369" t="s">
        <v>1352</v>
      </c>
      <c r="DO321" s="462" t="s">
        <v>1353</v>
      </c>
      <c r="DQ321" s="58" t="s">
        <v>231</v>
      </c>
    </row>
    <row r="322" spans="114:121" ht="15.75" customHeight="1">
      <c r="DJ322" s="369" t="s">
        <v>1382</v>
      </c>
      <c r="DK322" s="461" t="s">
        <v>1383</v>
      </c>
      <c r="DL322" s="369" t="s">
        <v>1351</v>
      </c>
      <c r="DM322" s="369" t="s">
        <v>1384</v>
      </c>
      <c r="DN322" s="369" t="s">
        <v>1385</v>
      </c>
      <c r="DO322" s="462" t="s">
        <v>1382</v>
      </c>
      <c r="DQ322" s="58" t="s">
        <v>231</v>
      </c>
    </row>
    <row r="323" spans="114:121" ht="15.75" customHeight="1">
      <c r="DJ323" s="369" t="s">
        <v>1386</v>
      </c>
      <c r="DK323" s="463" t="s">
        <v>1387</v>
      </c>
      <c r="DL323" s="369" t="s">
        <v>1351</v>
      </c>
      <c r="DM323" s="369" t="s">
        <v>1388</v>
      </c>
      <c r="DN323" s="369" t="s">
        <v>1389</v>
      </c>
      <c r="DO323" s="462" t="s">
        <v>1386</v>
      </c>
      <c r="DQ323" s="58" t="s">
        <v>231</v>
      </c>
    </row>
    <row r="324" spans="114:121" ht="15.75" customHeight="1">
      <c r="DJ324" s="369" t="s">
        <v>1390</v>
      </c>
      <c r="DK324" s="461" t="s">
        <v>1391</v>
      </c>
      <c r="DL324" s="369" t="s">
        <v>1351</v>
      </c>
      <c r="DM324" s="369" t="s">
        <v>1392</v>
      </c>
      <c r="DN324" s="369" t="s">
        <v>1393</v>
      </c>
      <c r="DO324" s="462" t="s">
        <v>1394</v>
      </c>
      <c r="DQ324" s="58" t="s">
        <v>231</v>
      </c>
    </row>
    <row r="325" spans="114:121" ht="15.75" customHeight="1">
      <c r="DJ325" s="369" t="s">
        <v>1395</v>
      </c>
      <c r="DK325" s="461" t="s">
        <v>1396</v>
      </c>
      <c r="DL325" s="369" t="s">
        <v>1351</v>
      </c>
      <c r="DM325" s="369" t="s">
        <v>1397</v>
      </c>
      <c r="DN325" s="369" t="s">
        <v>1398</v>
      </c>
      <c r="DO325" s="462" t="s">
        <v>1399</v>
      </c>
      <c r="DQ325" s="58" t="s">
        <v>231</v>
      </c>
    </row>
    <row r="326" spans="114:121" ht="15.75" customHeight="1">
      <c r="DJ326" s="369" t="s">
        <v>1400</v>
      </c>
      <c r="DK326" s="461" t="s">
        <v>1401</v>
      </c>
      <c r="DL326" s="369" t="s">
        <v>1351</v>
      </c>
      <c r="DM326" s="369" t="s">
        <v>1402</v>
      </c>
      <c r="DN326" s="369" t="s">
        <v>1401</v>
      </c>
      <c r="DO326" s="462" t="s">
        <v>1400</v>
      </c>
      <c r="DQ326" s="58" t="s">
        <v>231</v>
      </c>
    </row>
    <row r="327" spans="114:121" ht="15.75" customHeight="1">
      <c r="DJ327" s="369" t="s">
        <v>1403</v>
      </c>
      <c r="DK327" s="461" t="s">
        <v>1404</v>
      </c>
      <c r="DL327" s="369" t="s">
        <v>1351</v>
      </c>
      <c r="DM327" s="369" t="s">
        <v>1405</v>
      </c>
      <c r="DN327" s="369" t="s">
        <v>1404</v>
      </c>
      <c r="DO327" s="462" t="s">
        <v>1403</v>
      </c>
      <c r="DQ327" s="58" t="s">
        <v>231</v>
      </c>
    </row>
    <row r="328" spans="114:121" ht="15.75" customHeight="1">
      <c r="DJ328" s="369" t="s">
        <v>1406</v>
      </c>
      <c r="DK328" s="461" t="s">
        <v>1407</v>
      </c>
      <c r="DL328" s="369" t="s">
        <v>1351</v>
      </c>
      <c r="DM328" s="369" t="s">
        <v>1408</v>
      </c>
      <c r="DN328" s="369" t="s">
        <v>1409</v>
      </c>
      <c r="DO328" s="462" t="s">
        <v>1406</v>
      </c>
      <c r="DQ328" s="58" t="s">
        <v>231</v>
      </c>
    </row>
    <row r="329" spans="114:121" ht="15.75" customHeight="1">
      <c r="DJ329" s="369" t="s">
        <v>1410</v>
      </c>
      <c r="DK329" s="461" t="s">
        <v>1411</v>
      </c>
      <c r="DL329" s="369" t="s">
        <v>1351</v>
      </c>
      <c r="DM329" s="369" t="s">
        <v>1397</v>
      </c>
      <c r="DN329" s="369" t="s">
        <v>1398</v>
      </c>
      <c r="DO329" s="462" t="s">
        <v>1399</v>
      </c>
      <c r="DQ329" s="58" t="s">
        <v>231</v>
      </c>
    </row>
    <row r="330" spans="114:121" ht="15.75" customHeight="1">
      <c r="DJ330" s="369" t="s">
        <v>1412</v>
      </c>
      <c r="DK330" s="461" t="s">
        <v>1413</v>
      </c>
      <c r="DL330" s="369" t="s">
        <v>1351</v>
      </c>
      <c r="DM330" s="369" t="s">
        <v>1361</v>
      </c>
      <c r="DN330" s="369" t="s">
        <v>1362</v>
      </c>
      <c r="DO330" s="462" t="s">
        <v>1363</v>
      </c>
      <c r="DQ330" s="58" t="s">
        <v>231</v>
      </c>
    </row>
    <row r="331" spans="114:121" ht="15.75" customHeight="1">
      <c r="DJ331" s="369" t="s">
        <v>1414</v>
      </c>
      <c r="DK331" s="461" t="s">
        <v>1415</v>
      </c>
      <c r="DL331" s="369" t="s">
        <v>1351</v>
      </c>
      <c r="DM331" s="369" t="s">
        <v>1361</v>
      </c>
      <c r="DN331" s="369" t="s">
        <v>1362</v>
      </c>
      <c r="DO331" s="462" t="s">
        <v>1363</v>
      </c>
      <c r="DQ331" s="58" t="s">
        <v>231</v>
      </c>
    </row>
    <row r="332" spans="114:121" ht="15.75" customHeight="1">
      <c r="DJ332" s="369" t="s">
        <v>1416</v>
      </c>
      <c r="DK332" s="463" t="s">
        <v>1417</v>
      </c>
      <c r="DL332" s="369" t="s">
        <v>1418</v>
      </c>
      <c r="DM332" s="369" t="s">
        <v>1419</v>
      </c>
      <c r="DN332" s="369" t="s">
        <v>1420</v>
      </c>
      <c r="DO332" s="462" t="s">
        <v>1421</v>
      </c>
      <c r="DQ332" s="58" t="s">
        <v>231</v>
      </c>
    </row>
    <row r="333" spans="114:121" ht="15.75" customHeight="1">
      <c r="DJ333" s="369" t="s">
        <v>1422</v>
      </c>
      <c r="DK333" s="461" t="s">
        <v>1423</v>
      </c>
      <c r="DL333" s="369" t="s">
        <v>1418</v>
      </c>
      <c r="DM333" s="369" t="s">
        <v>1419</v>
      </c>
      <c r="DN333" s="369" t="s">
        <v>1420</v>
      </c>
      <c r="DO333" s="462" t="s">
        <v>1421</v>
      </c>
      <c r="DQ333" s="58" t="s">
        <v>231</v>
      </c>
    </row>
    <row r="334" spans="114:121" ht="15.75" customHeight="1">
      <c r="DJ334" s="369" t="s">
        <v>1424</v>
      </c>
      <c r="DK334" s="461" t="s">
        <v>1425</v>
      </c>
      <c r="DL334" s="369" t="s">
        <v>1418</v>
      </c>
      <c r="DM334" s="369" t="s">
        <v>1426</v>
      </c>
      <c r="DN334" s="369" t="s">
        <v>1425</v>
      </c>
      <c r="DO334" s="462" t="s">
        <v>1427</v>
      </c>
      <c r="DQ334" s="58" t="s">
        <v>231</v>
      </c>
    </row>
    <row r="335" spans="114:121" ht="15.75" customHeight="1">
      <c r="DJ335" s="369" t="s">
        <v>1428</v>
      </c>
      <c r="DK335" s="463" t="s">
        <v>2222</v>
      </c>
      <c r="DL335" s="369" t="s">
        <v>1418</v>
      </c>
      <c r="DM335" s="369" t="s">
        <v>1429</v>
      </c>
      <c r="DN335" s="369" t="s">
        <v>1430</v>
      </c>
      <c r="DO335" s="462" t="s">
        <v>1431</v>
      </c>
      <c r="DQ335" s="58" t="s">
        <v>231</v>
      </c>
    </row>
    <row r="336" spans="114:121" ht="15.75" customHeight="1">
      <c r="DJ336" s="369" t="s">
        <v>1432</v>
      </c>
      <c r="DK336" s="463" t="s">
        <v>1433</v>
      </c>
      <c r="DL336" s="369" t="s">
        <v>1418</v>
      </c>
      <c r="DM336" s="369" t="s">
        <v>1429</v>
      </c>
      <c r="DN336" s="369" t="s">
        <v>1430</v>
      </c>
      <c r="DO336" s="462" t="s">
        <v>1431</v>
      </c>
      <c r="DQ336" s="58" t="s">
        <v>231</v>
      </c>
    </row>
    <row r="337" spans="114:121" ht="15.75" customHeight="1">
      <c r="DJ337" s="369" t="s">
        <v>1434</v>
      </c>
      <c r="DK337" s="463" t="s">
        <v>2223</v>
      </c>
      <c r="DL337" s="369" t="s">
        <v>1418</v>
      </c>
      <c r="DM337" s="369" t="s">
        <v>1435</v>
      </c>
      <c r="DN337" s="369" t="s">
        <v>1436</v>
      </c>
      <c r="DO337" s="462" t="s">
        <v>1437</v>
      </c>
      <c r="DQ337" s="58" t="s">
        <v>231</v>
      </c>
    </row>
    <row r="338" spans="114:121" ht="15.75" customHeight="1">
      <c r="DJ338" s="369" t="s">
        <v>1438</v>
      </c>
      <c r="DK338" s="463" t="s">
        <v>1439</v>
      </c>
      <c r="DL338" s="369" t="s">
        <v>1418</v>
      </c>
      <c r="DM338" s="369" t="s">
        <v>1440</v>
      </c>
      <c r="DN338" s="369" t="s">
        <v>1441</v>
      </c>
      <c r="DO338" s="462" t="s">
        <v>1442</v>
      </c>
      <c r="DQ338" s="58" t="s">
        <v>231</v>
      </c>
    </row>
    <row r="339" spans="114:121" ht="15.75" customHeight="1">
      <c r="DJ339" s="369" t="s">
        <v>1443</v>
      </c>
      <c r="DK339" s="463" t="s">
        <v>1444</v>
      </c>
      <c r="DL339" s="369" t="s">
        <v>1418</v>
      </c>
      <c r="DM339" s="369" t="s">
        <v>1440</v>
      </c>
      <c r="DN339" s="369" t="s">
        <v>1441</v>
      </c>
      <c r="DO339" s="462" t="s">
        <v>1442</v>
      </c>
      <c r="DQ339" s="58" t="s">
        <v>231</v>
      </c>
    </row>
    <row r="340" spans="114:121" ht="15.75" customHeight="1">
      <c r="DJ340" s="369" t="s">
        <v>1445</v>
      </c>
      <c r="DK340" s="463" t="s">
        <v>1446</v>
      </c>
      <c r="DL340" s="369" t="s">
        <v>1418</v>
      </c>
      <c r="DM340" s="369" t="s">
        <v>1440</v>
      </c>
      <c r="DN340" s="369" t="s">
        <v>1441</v>
      </c>
      <c r="DO340" s="462" t="s">
        <v>1442</v>
      </c>
      <c r="DQ340" s="58" t="s">
        <v>231</v>
      </c>
    </row>
    <row r="341" spans="114:121" ht="15.75" customHeight="1">
      <c r="DJ341" s="369" t="s">
        <v>1447</v>
      </c>
      <c r="DK341" s="463" t="s">
        <v>1448</v>
      </c>
      <c r="DL341" s="369" t="s">
        <v>1418</v>
      </c>
      <c r="DM341" s="369" t="s">
        <v>1440</v>
      </c>
      <c r="DN341" s="369" t="s">
        <v>1441</v>
      </c>
      <c r="DO341" s="462" t="s">
        <v>1442</v>
      </c>
      <c r="DQ341" s="58" t="s">
        <v>231</v>
      </c>
    </row>
    <row r="342" spans="114:121" ht="15.75" customHeight="1">
      <c r="DJ342" s="369" t="s">
        <v>1449</v>
      </c>
      <c r="DK342" s="463" t="s">
        <v>1450</v>
      </c>
      <c r="DL342" s="369" t="s">
        <v>1418</v>
      </c>
      <c r="DM342" s="369" t="s">
        <v>1440</v>
      </c>
      <c r="DN342" s="369" t="s">
        <v>1441</v>
      </c>
      <c r="DO342" s="462" t="s">
        <v>1442</v>
      </c>
      <c r="DQ342" s="58" t="s">
        <v>231</v>
      </c>
    </row>
    <row r="343" spans="114:121" ht="15.75" customHeight="1">
      <c r="DJ343" s="369" t="s">
        <v>1451</v>
      </c>
      <c r="DK343" s="463" t="s">
        <v>1452</v>
      </c>
      <c r="DL343" s="369" t="s">
        <v>1418</v>
      </c>
      <c r="DM343" s="369" t="s">
        <v>1440</v>
      </c>
      <c r="DN343" s="369" t="s">
        <v>1441</v>
      </c>
      <c r="DO343" s="462" t="s">
        <v>1442</v>
      </c>
      <c r="DQ343" s="58" t="s">
        <v>231</v>
      </c>
    </row>
    <row r="344" spans="114:121" ht="15.75" customHeight="1">
      <c r="DJ344" s="369" t="s">
        <v>1453</v>
      </c>
      <c r="DK344" s="463" t="s">
        <v>1454</v>
      </c>
      <c r="DL344" s="369" t="s">
        <v>1418</v>
      </c>
      <c r="DM344" s="369" t="s">
        <v>1440</v>
      </c>
      <c r="DN344" s="369" t="s">
        <v>1441</v>
      </c>
      <c r="DO344" s="462" t="s">
        <v>1442</v>
      </c>
      <c r="DQ344" s="58" t="s">
        <v>231</v>
      </c>
    </row>
    <row r="345" spans="114:121" ht="15.75" customHeight="1">
      <c r="DJ345" s="369" t="s">
        <v>1455</v>
      </c>
      <c r="DK345" s="463" t="s">
        <v>1456</v>
      </c>
      <c r="DL345" s="369" t="s">
        <v>1418</v>
      </c>
      <c r="DM345" s="369" t="s">
        <v>1440</v>
      </c>
      <c r="DN345" s="369" t="s">
        <v>1441</v>
      </c>
      <c r="DO345" s="462" t="s">
        <v>1442</v>
      </c>
      <c r="DQ345" s="58" t="s">
        <v>231</v>
      </c>
    </row>
    <row r="346" spans="114:121" ht="15.75" customHeight="1">
      <c r="DJ346" s="369" t="s">
        <v>1457</v>
      </c>
      <c r="DK346" s="463" t="s">
        <v>1458</v>
      </c>
      <c r="DL346" s="369" t="s">
        <v>1418</v>
      </c>
      <c r="DM346" s="369" t="s">
        <v>1440</v>
      </c>
      <c r="DN346" s="369" t="s">
        <v>1441</v>
      </c>
      <c r="DO346" s="462" t="s">
        <v>1442</v>
      </c>
      <c r="DQ346" s="58" t="s">
        <v>231</v>
      </c>
    </row>
    <row r="347" spans="114:121" ht="15.75" customHeight="1">
      <c r="DJ347" s="369" t="s">
        <v>1459</v>
      </c>
      <c r="DK347" s="461" t="s">
        <v>1460</v>
      </c>
      <c r="DL347" s="369" t="s">
        <v>1461</v>
      </c>
      <c r="DM347" s="369" t="s">
        <v>1462</v>
      </c>
      <c r="DN347" s="369" t="s">
        <v>1463</v>
      </c>
      <c r="DO347" s="462" t="s">
        <v>1464</v>
      </c>
      <c r="DQ347" s="58" t="s">
        <v>231</v>
      </c>
    </row>
    <row r="348" spans="114:121" ht="15.75" customHeight="1">
      <c r="DJ348" s="369" t="s">
        <v>1465</v>
      </c>
      <c r="DK348" s="463" t="s">
        <v>1466</v>
      </c>
      <c r="DL348" s="369" t="s">
        <v>1461</v>
      </c>
      <c r="DM348" s="369" t="s">
        <v>1462</v>
      </c>
      <c r="DN348" s="369" t="s">
        <v>1463</v>
      </c>
      <c r="DO348" s="462" t="s">
        <v>1464</v>
      </c>
      <c r="DQ348" s="58" t="s">
        <v>231</v>
      </c>
    </row>
    <row r="349" spans="114:121" ht="15.75" customHeight="1">
      <c r="DJ349" s="369" t="s">
        <v>1467</v>
      </c>
      <c r="DK349" s="461" t="s">
        <v>1468</v>
      </c>
      <c r="DL349" s="369" t="s">
        <v>1461</v>
      </c>
      <c r="DM349" s="369" t="s">
        <v>1462</v>
      </c>
      <c r="DN349" s="369" t="s">
        <v>1463</v>
      </c>
      <c r="DO349" s="462" t="s">
        <v>1464</v>
      </c>
      <c r="DQ349" s="58" t="s">
        <v>231</v>
      </c>
    </row>
    <row r="350" spans="114:121" ht="15.75" customHeight="1">
      <c r="DJ350" s="369" t="s">
        <v>1469</v>
      </c>
      <c r="DK350" s="463" t="s">
        <v>1470</v>
      </c>
      <c r="DL350" s="369" t="s">
        <v>1461</v>
      </c>
      <c r="DM350" s="369" t="s">
        <v>1462</v>
      </c>
      <c r="DN350" s="369" t="s">
        <v>1463</v>
      </c>
      <c r="DO350" s="462" t="s">
        <v>1464</v>
      </c>
      <c r="DQ350" s="58" t="s">
        <v>231</v>
      </c>
    </row>
    <row r="351" spans="114:121" ht="15.75" customHeight="1">
      <c r="DJ351" s="369" t="s">
        <v>1471</v>
      </c>
      <c r="DK351" s="463" t="s">
        <v>1472</v>
      </c>
      <c r="DL351" s="369" t="s">
        <v>1461</v>
      </c>
      <c r="DM351" s="369" t="s">
        <v>1473</v>
      </c>
      <c r="DN351" s="369" t="s">
        <v>1474</v>
      </c>
      <c r="DO351" s="462" t="s">
        <v>1475</v>
      </c>
      <c r="DQ351" s="58" t="s">
        <v>231</v>
      </c>
    </row>
    <row r="352" spans="114:121" ht="15.75" customHeight="1">
      <c r="DJ352" s="369" t="s">
        <v>1476</v>
      </c>
      <c r="DK352" s="461" t="s">
        <v>1477</v>
      </c>
      <c r="DL352" s="369" t="s">
        <v>1461</v>
      </c>
      <c r="DM352" s="369" t="s">
        <v>1473</v>
      </c>
      <c r="DN352" s="369" t="s">
        <v>1474</v>
      </c>
      <c r="DO352" s="462" t="s">
        <v>1475</v>
      </c>
      <c r="DQ352" s="58" t="s">
        <v>231</v>
      </c>
    </row>
    <row r="353" spans="114:121" ht="15.75" customHeight="1">
      <c r="DJ353" s="369" t="s">
        <v>1478</v>
      </c>
      <c r="DK353" s="461" t="s">
        <v>1479</v>
      </c>
      <c r="DL353" s="369" t="s">
        <v>1461</v>
      </c>
      <c r="DM353" s="369" t="s">
        <v>1473</v>
      </c>
      <c r="DN353" s="369" t="s">
        <v>1474</v>
      </c>
      <c r="DO353" s="462" t="s">
        <v>1475</v>
      </c>
      <c r="DQ353" s="58" t="s">
        <v>231</v>
      </c>
    </row>
    <row r="354" spans="114:121" ht="15.75" customHeight="1">
      <c r="DJ354" s="369" t="s">
        <v>1480</v>
      </c>
      <c r="DK354" s="461" t="s">
        <v>1481</v>
      </c>
      <c r="DL354" s="369" t="s">
        <v>1461</v>
      </c>
      <c r="DM354" s="369" t="s">
        <v>1473</v>
      </c>
      <c r="DN354" s="369" t="s">
        <v>1474</v>
      </c>
      <c r="DO354" s="462" t="s">
        <v>1475</v>
      </c>
      <c r="DQ354" s="58" t="s">
        <v>231</v>
      </c>
    </row>
    <row r="355" spans="114:121" ht="15.75" customHeight="1">
      <c r="DJ355" s="369" t="s">
        <v>1482</v>
      </c>
      <c r="DK355" s="461" t="s">
        <v>1483</v>
      </c>
      <c r="DL355" s="369" t="s">
        <v>1461</v>
      </c>
      <c r="DM355" s="369" t="s">
        <v>1473</v>
      </c>
      <c r="DN355" s="369" t="s">
        <v>1474</v>
      </c>
      <c r="DO355" s="462" t="s">
        <v>1475</v>
      </c>
      <c r="DQ355" s="58" t="s">
        <v>231</v>
      </c>
    </row>
    <row r="356" spans="114:121" ht="15.75" customHeight="1">
      <c r="DJ356" s="369" t="s">
        <v>1484</v>
      </c>
      <c r="DK356" s="463" t="s">
        <v>1485</v>
      </c>
      <c r="DL356" s="369" t="s">
        <v>1461</v>
      </c>
      <c r="DM356" s="369" t="s">
        <v>1473</v>
      </c>
      <c r="DN356" s="369" t="s">
        <v>1474</v>
      </c>
      <c r="DO356" s="462" t="s">
        <v>1475</v>
      </c>
      <c r="DQ356" s="58" t="s">
        <v>231</v>
      </c>
    </row>
    <row r="357" spans="114:121" ht="15.75" customHeight="1">
      <c r="DJ357" s="369" t="s">
        <v>1486</v>
      </c>
      <c r="DK357" s="463" t="s">
        <v>1487</v>
      </c>
      <c r="DL357" s="369" t="s">
        <v>1461</v>
      </c>
      <c r="DM357" s="369" t="s">
        <v>1473</v>
      </c>
      <c r="DN357" s="369" t="s">
        <v>1474</v>
      </c>
      <c r="DO357" s="462" t="s">
        <v>1475</v>
      </c>
      <c r="DQ357" s="58" t="s">
        <v>231</v>
      </c>
    </row>
    <row r="358" spans="114:121" ht="15.75" customHeight="1">
      <c r="DJ358" s="369" t="s">
        <v>1488</v>
      </c>
      <c r="DK358" s="461" t="s">
        <v>1489</v>
      </c>
      <c r="DL358" s="369" t="s">
        <v>1461</v>
      </c>
      <c r="DM358" s="369" t="s">
        <v>1473</v>
      </c>
      <c r="DN358" s="369" t="s">
        <v>1474</v>
      </c>
      <c r="DO358" s="462" t="s">
        <v>1475</v>
      </c>
      <c r="DQ358" s="58" t="s">
        <v>231</v>
      </c>
    </row>
    <row r="359" spans="114:121" ht="15.75" customHeight="1">
      <c r="DJ359" s="369" t="s">
        <v>1490</v>
      </c>
      <c r="DK359" s="463" t="s">
        <v>1491</v>
      </c>
      <c r="DL359" s="369" t="s">
        <v>1461</v>
      </c>
      <c r="DM359" s="369" t="s">
        <v>1473</v>
      </c>
      <c r="DN359" s="369" t="s">
        <v>1474</v>
      </c>
      <c r="DO359" s="462" t="s">
        <v>1475</v>
      </c>
      <c r="DQ359" s="58" t="s">
        <v>231</v>
      </c>
    </row>
    <row r="360" spans="114:121" ht="15.75" customHeight="1">
      <c r="DJ360" s="369" t="s">
        <v>1492</v>
      </c>
      <c r="DK360" s="461" t="s">
        <v>1493</v>
      </c>
      <c r="DL360" s="369" t="s">
        <v>1461</v>
      </c>
      <c r="DM360" s="369" t="s">
        <v>1494</v>
      </c>
      <c r="DN360" s="369" t="s">
        <v>1495</v>
      </c>
      <c r="DO360" s="462" t="s">
        <v>1496</v>
      </c>
      <c r="DQ360" s="58" t="s">
        <v>231</v>
      </c>
    </row>
    <row r="361" spans="114:121" ht="15.75" customHeight="1">
      <c r="DJ361" s="369" t="s">
        <v>1497</v>
      </c>
      <c r="DK361" s="461" t="s">
        <v>1498</v>
      </c>
      <c r="DL361" s="369" t="s">
        <v>1461</v>
      </c>
      <c r="DM361" s="369" t="s">
        <v>1494</v>
      </c>
      <c r="DN361" s="369" t="s">
        <v>1495</v>
      </c>
      <c r="DO361" s="462" t="s">
        <v>1496</v>
      </c>
      <c r="DQ361" s="58" t="s">
        <v>231</v>
      </c>
    </row>
    <row r="362" spans="114:121" ht="15.75" customHeight="1">
      <c r="DJ362" s="369" t="s">
        <v>1499</v>
      </c>
      <c r="DK362" s="461" t="s">
        <v>1500</v>
      </c>
      <c r="DL362" s="369" t="s">
        <v>1461</v>
      </c>
      <c r="DM362" s="369" t="s">
        <v>1501</v>
      </c>
      <c r="DN362" s="369" t="s">
        <v>1502</v>
      </c>
      <c r="DO362" s="462" t="s">
        <v>1503</v>
      </c>
      <c r="DQ362" s="58" t="s">
        <v>231</v>
      </c>
    </row>
    <row r="363" spans="114:121" ht="15.75" customHeight="1">
      <c r="DJ363" s="369" t="s">
        <v>1504</v>
      </c>
      <c r="DK363" s="463" t="s">
        <v>2224</v>
      </c>
      <c r="DL363" s="369" t="s">
        <v>1461</v>
      </c>
      <c r="DM363" s="369" t="s">
        <v>1505</v>
      </c>
      <c r="DN363" s="369" t="s">
        <v>1506</v>
      </c>
      <c r="DO363" s="462" t="s">
        <v>1507</v>
      </c>
      <c r="DQ363" s="58" t="s">
        <v>231</v>
      </c>
    </row>
    <row r="364" spans="114:121" ht="15.75" customHeight="1">
      <c r="DJ364" s="369" t="s">
        <v>1508</v>
      </c>
      <c r="DK364" s="461" t="s">
        <v>1509</v>
      </c>
      <c r="DL364" s="369" t="s">
        <v>1461</v>
      </c>
      <c r="DM364" s="369" t="s">
        <v>1510</v>
      </c>
      <c r="DN364" s="369" t="s">
        <v>1511</v>
      </c>
      <c r="DO364" s="462" t="s">
        <v>1512</v>
      </c>
      <c r="DQ364" s="58" t="s">
        <v>231</v>
      </c>
    </row>
    <row r="365" spans="114:121" ht="15.75" customHeight="1">
      <c r="DJ365" s="369" t="s">
        <v>1513</v>
      </c>
      <c r="DK365" s="461" t="s">
        <v>1514</v>
      </c>
      <c r="DL365" s="369" t="s">
        <v>1461</v>
      </c>
      <c r="DM365" s="369" t="s">
        <v>1510</v>
      </c>
      <c r="DN365" s="369" t="s">
        <v>1511</v>
      </c>
      <c r="DO365" s="462" t="s">
        <v>1512</v>
      </c>
      <c r="DQ365" s="58" t="s">
        <v>231</v>
      </c>
    </row>
    <row r="366" spans="114:121" ht="15.75" customHeight="1">
      <c r="DJ366" s="369" t="s">
        <v>1515</v>
      </c>
      <c r="DK366" s="463" t="s">
        <v>1516</v>
      </c>
      <c r="DL366" s="369" t="s">
        <v>1461</v>
      </c>
      <c r="DM366" s="369" t="s">
        <v>1505</v>
      </c>
      <c r="DN366" s="369" t="s">
        <v>1506</v>
      </c>
      <c r="DO366" s="462" t="s">
        <v>1507</v>
      </c>
      <c r="DQ366" s="58" t="s">
        <v>231</v>
      </c>
    </row>
    <row r="367" spans="114:121" ht="15.75" customHeight="1">
      <c r="DJ367" s="369" t="s">
        <v>1517</v>
      </c>
      <c r="DK367" s="461" t="s">
        <v>1518</v>
      </c>
      <c r="DL367" s="369" t="s">
        <v>1461</v>
      </c>
      <c r="DM367" s="369" t="s">
        <v>1505</v>
      </c>
      <c r="DN367" s="369" t="s">
        <v>1506</v>
      </c>
      <c r="DO367" s="462" t="s">
        <v>1507</v>
      </c>
      <c r="DQ367" s="58" t="s">
        <v>231</v>
      </c>
    </row>
    <row r="368" spans="114:121" ht="15.75" customHeight="1">
      <c r="DJ368" s="369" t="s">
        <v>1519</v>
      </c>
      <c r="DK368" s="461" t="s">
        <v>1520</v>
      </c>
      <c r="DL368" s="369" t="s">
        <v>1461</v>
      </c>
      <c r="DM368" s="369" t="s">
        <v>1505</v>
      </c>
      <c r="DN368" s="369" t="s">
        <v>1506</v>
      </c>
      <c r="DO368" s="462" t="s">
        <v>1507</v>
      </c>
      <c r="DQ368" s="58" t="s">
        <v>231</v>
      </c>
    </row>
    <row r="369" spans="114:121" ht="15.75" customHeight="1">
      <c r="DJ369" s="369" t="s">
        <v>1521</v>
      </c>
      <c r="DK369" s="461" t="s">
        <v>1522</v>
      </c>
      <c r="DL369" s="369" t="s">
        <v>1461</v>
      </c>
      <c r="DM369" s="369" t="s">
        <v>1523</v>
      </c>
      <c r="DN369" s="369" t="s">
        <v>1524</v>
      </c>
      <c r="DO369" s="462" t="s">
        <v>1525</v>
      </c>
      <c r="DQ369" s="58" t="s">
        <v>231</v>
      </c>
    </row>
    <row r="370" spans="114:121" ht="15.75" customHeight="1">
      <c r="DJ370" s="369" t="s">
        <v>1526</v>
      </c>
      <c r="DK370" s="461" t="s">
        <v>1527</v>
      </c>
      <c r="DL370" s="369" t="s">
        <v>1461</v>
      </c>
      <c r="DM370" s="369" t="s">
        <v>1528</v>
      </c>
      <c r="DN370" s="369" t="s">
        <v>1529</v>
      </c>
      <c r="DO370" s="462" t="s">
        <v>1530</v>
      </c>
      <c r="DQ370" s="58" t="s">
        <v>231</v>
      </c>
    </row>
    <row r="371" spans="114:121" ht="15.75" customHeight="1">
      <c r="DJ371" s="369" t="s">
        <v>1531</v>
      </c>
      <c r="DK371" s="461" t="s">
        <v>1532</v>
      </c>
      <c r="DL371" s="369" t="s">
        <v>1461</v>
      </c>
      <c r="DM371" s="369" t="s">
        <v>1528</v>
      </c>
      <c r="DN371" s="369" t="s">
        <v>1529</v>
      </c>
      <c r="DO371" s="462" t="s">
        <v>1530</v>
      </c>
      <c r="DQ371" s="58" t="s">
        <v>231</v>
      </c>
    </row>
    <row r="372" spans="114:121" ht="15.75" customHeight="1">
      <c r="DJ372" s="369" t="s">
        <v>1533</v>
      </c>
      <c r="DK372" s="461" t="s">
        <v>1534</v>
      </c>
      <c r="DL372" s="369" t="s">
        <v>1461</v>
      </c>
      <c r="DM372" s="369" t="s">
        <v>1528</v>
      </c>
      <c r="DN372" s="369" t="s">
        <v>1529</v>
      </c>
      <c r="DO372" s="462" t="s">
        <v>1530</v>
      </c>
      <c r="DQ372" s="58" t="s">
        <v>231</v>
      </c>
    </row>
    <row r="373" spans="114:121" ht="15.75" customHeight="1">
      <c r="DJ373" s="369" t="s">
        <v>1535</v>
      </c>
      <c r="DK373" s="461" t="s">
        <v>1536</v>
      </c>
      <c r="DL373" s="369" t="s">
        <v>1461</v>
      </c>
      <c r="DM373" s="369" t="s">
        <v>1528</v>
      </c>
      <c r="DN373" s="369" t="s">
        <v>1529</v>
      </c>
      <c r="DO373" s="462" t="s">
        <v>1530</v>
      </c>
      <c r="DQ373" s="58" t="s">
        <v>231</v>
      </c>
    </row>
    <row r="374" spans="114:121" ht="15.75" customHeight="1">
      <c r="DJ374" s="369" t="s">
        <v>1537</v>
      </c>
      <c r="DK374" s="463" t="s">
        <v>1538</v>
      </c>
      <c r="DL374" s="369" t="s">
        <v>1461</v>
      </c>
      <c r="DM374" s="369" t="s">
        <v>1528</v>
      </c>
      <c r="DN374" s="369" t="s">
        <v>1529</v>
      </c>
      <c r="DO374" s="462" t="s">
        <v>1530</v>
      </c>
      <c r="DQ374" s="58" t="s">
        <v>231</v>
      </c>
    </row>
    <row r="375" spans="114:121" ht="15.75" customHeight="1">
      <c r="DJ375" s="369" t="s">
        <v>1539</v>
      </c>
      <c r="DK375" s="461" t="s">
        <v>1540</v>
      </c>
      <c r="DL375" s="369" t="s">
        <v>1461</v>
      </c>
      <c r="DM375" s="369" t="s">
        <v>1523</v>
      </c>
      <c r="DN375" s="369" t="s">
        <v>1524</v>
      </c>
      <c r="DO375" s="462" t="s">
        <v>1525</v>
      </c>
      <c r="DQ375" s="58" t="s">
        <v>231</v>
      </c>
    </row>
    <row r="376" spans="114:121" ht="15.75" customHeight="1">
      <c r="DJ376" s="369" t="s">
        <v>1541</v>
      </c>
      <c r="DK376" s="461" t="s">
        <v>1542</v>
      </c>
      <c r="DL376" s="369" t="s">
        <v>1461</v>
      </c>
      <c r="DM376" s="369" t="s">
        <v>1523</v>
      </c>
      <c r="DN376" s="369" t="s">
        <v>1524</v>
      </c>
      <c r="DO376" s="462" t="s">
        <v>1525</v>
      </c>
      <c r="DQ376" s="58" t="s">
        <v>231</v>
      </c>
    </row>
    <row r="377" spans="114:121" ht="15.75" customHeight="1">
      <c r="DJ377" s="369" t="s">
        <v>1543</v>
      </c>
      <c r="DK377" s="461" t="s">
        <v>1544</v>
      </c>
      <c r="DL377" s="369" t="s">
        <v>1461</v>
      </c>
      <c r="DM377" s="369" t="s">
        <v>1545</v>
      </c>
      <c r="DN377" s="369" t="s">
        <v>1546</v>
      </c>
      <c r="DO377" s="462" t="s">
        <v>1543</v>
      </c>
      <c r="DQ377" s="58" t="s">
        <v>231</v>
      </c>
    </row>
    <row r="378" spans="114:121" ht="15.75" customHeight="1">
      <c r="DJ378" s="369" t="s">
        <v>1547</v>
      </c>
      <c r="DK378" s="463" t="s">
        <v>1548</v>
      </c>
      <c r="DL378" s="369" t="s">
        <v>1461</v>
      </c>
      <c r="DM378" s="369" t="s">
        <v>1549</v>
      </c>
      <c r="DN378" s="369" t="s">
        <v>1550</v>
      </c>
      <c r="DO378" s="462" t="s">
        <v>1551</v>
      </c>
      <c r="DQ378" s="58" t="s">
        <v>231</v>
      </c>
    </row>
    <row r="379" spans="114:121" ht="15.75" customHeight="1">
      <c r="DJ379" s="369" t="s">
        <v>1552</v>
      </c>
      <c r="DK379" s="463" t="s">
        <v>1553</v>
      </c>
      <c r="DL379" s="369" t="s">
        <v>1461</v>
      </c>
      <c r="DM379" s="369" t="s">
        <v>1549</v>
      </c>
      <c r="DN379" s="369" t="s">
        <v>1550</v>
      </c>
      <c r="DO379" s="462" t="s">
        <v>1551</v>
      </c>
      <c r="DQ379" s="58" t="s">
        <v>231</v>
      </c>
    </row>
    <row r="380" spans="114:121" ht="15.75" customHeight="1">
      <c r="DJ380" s="369" t="s">
        <v>1554</v>
      </c>
      <c r="DK380" s="461" t="s">
        <v>1555</v>
      </c>
      <c r="DL380" s="369" t="s">
        <v>1461</v>
      </c>
      <c r="DM380" s="369" t="s">
        <v>1556</v>
      </c>
      <c r="DN380" s="369" t="s">
        <v>1557</v>
      </c>
      <c r="DO380" s="462" t="s">
        <v>1554</v>
      </c>
      <c r="DQ380" s="58" t="s">
        <v>231</v>
      </c>
    </row>
    <row r="381" spans="114:121" ht="15.75" customHeight="1">
      <c r="DJ381" s="369" t="s">
        <v>1558</v>
      </c>
      <c r="DK381" s="463" t="s">
        <v>1559</v>
      </c>
      <c r="DL381" s="369" t="s">
        <v>1461</v>
      </c>
      <c r="DM381" s="369" t="s">
        <v>1560</v>
      </c>
      <c r="DN381" s="369" t="s">
        <v>1561</v>
      </c>
      <c r="DO381" s="462" t="s">
        <v>1562</v>
      </c>
      <c r="DQ381" s="58" t="s">
        <v>231</v>
      </c>
    </row>
    <row r="382" spans="114:121" ht="15.75" customHeight="1">
      <c r="DJ382" s="369" t="s">
        <v>1563</v>
      </c>
      <c r="DK382" s="461" t="s">
        <v>1564</v>
      </c>
      <c r="DL382" s="369" t="s">
        <v>1461</v>
      </c>
      <c r="DM382" s="369" t="s">
        <v>1560</v>
      </c>
      <c r="DN382" s="369" t="s">
        <v>1561</v>
      </c>
      <c r="DO382" s="462" t="s">
        <v>1562</v>
      </c>
      <c r="DQ382" s="58" t="s">
        <v>231</v>
      </c>
    </row>
    <row r="383" spans="114:121" ht="15.75" customHeight="1">
      <c r="DJ383" s="369" t="s">
        <v>1565</v>
      </c>
      <c r="DK383" s="461" t="s">
        <v>1561</v>
      </c>
      <c r="DL383" s="369" t="s">
        <v>1461</v>
      </c>
      <c r="DM383" s="369" t="s">
        <v>1560</v>
      </c>
      <c r="DN383" s="369" t="s">
        <v>1561</v>
      </c>
      <c r="DO383" s="462" t="s">
        <v>1562</v>
      </c>
      <c r="DQ383" s="58" t="s">
        <v>231</v>
      </c>
    </row>
    <row r="384" spans="114:121" ht="15.75" customHeight="1">
      <c r="DJ384" s="369" t="s">
        <v>1566</v>
      </c>
      <c r="DK384" s="461" t="s">
        <v>1567</v>
      </c>
      <c r="DL384" s="369" t="s">
        <v>1461</v>
      </c>
      <c r="DM384" s="369" t="s">
        <v>1568</v>
      </c>
      <c r="DN384" s="369" t="s">
        <v>1569</v>
      </c>
      <c r="DO384" s="462" t="s">
        <v>1570</v>
      </c>
      <c r="DQ384" s="58" t="s">
        <v>231</v>
      </c>
    </row>
    <row r="385" spans="114:121" ht="15.75" customHeight="1">
      <c r="DJ385" s="369" t="s">
        <v>1571</v>
      </c>
      <c r="DK385" s="461" t="s">
        <v>1572</v>
      </c>
      <c r="DL385" s="369" t="s">
        <v>1461</v>
      </c>
      <c r="DM385" s="369" t="s">
        <v>1573</v>
      </c>
      <c r="DN385" s="369" t="s">
        <v>1574</v>
      </c>
      <c r="DO385" s="462" t="s">
        <v>1575</v>
      </c>
      <c r="DQ385" s="58" t="s">
        <v>231</v>
      </c>
    </row>
    <row r="386" spans="114:121" ht="15.75" customHeight="1">
      <c r="DJ386" s="369" t="s">
        <v>1576</v>
      </c>
      <c r="DK386" s="463" t="s">
        <v>1577</v>
      </c>
      <c r="DL386" s="369" t="s">
        <v>1578</v>
      </c>
      <c r="DM386" s="369" t="s">
        <v>1579</v>
      </c>
      <c r="DN386" s="369" t="s">
        <v>1580</v>
      </c>
      <c r="DO386" s="462" t="s">
        <v>1576</v>
      </c>
      <c r="DQ386" s="58" t="s">
        <v>231</v>
      </c>
    </row>
    <row r="387" spans="114:121" ht="15.75" customHeight="1">
      <c r="DJ387" s="369" t="s">
        <v>1581</v>
      </c>
      <c r="DK387" s="463" t="s">
        <v>1582</v>
      </c>
      <c r="DL387" s="369" t="s">
        <v>1578</v>
      </c>
      <c r="DM387" s="369" t="s">
        <v>1579</v>
      </c>
      <c r="DN387" s="369" t="s">
        <v>1580</v>
      </c>
      <c r="DO387" s="462" t="s">
        <v>1576</v>
      </c>
      <c r="DQ387" s="58" t="s">
        <v>231</v>
      </c>
    </row>
    <row r="388" spans="114:121" ht="15.75" customHeight="1">
      <c r="DJ388" s="369" t="s">
        <v>1583</v>
      </c>
      <c r="DK388" s="463" t="s">
        <v>1584</v>
      </c>
      <c r="DL388" s="369" t="s">
        <v>1578</v>
      </c>
      <c r="DM388" s="369" t="s">
        <v>1585</v>
      </c>
      <c r="DN388" s="369" t="s">
        <v>1586</v>
      </c>
      <c r="DO388" s="462" t="s">
        <v>1587</v>
      </c>
      <c r="DQ388" s="58" t="s">
        <v>231</v>
      </c>
    </row>
    <row r="389" spans="114:121" ht="15.75" customHeight="1">
      <c r="DJ389" s="369" t="s">
        <v>1588</v>
      </c>
      <c r="DK389" s="461" t="s">
        <v>1589</v>
      </c>
      <c r="DL389" s="369" t="s">
        <v>1578</v>
      </c>
      <c r="DM389" s="369" t="s">
        <v>1585</v>
      </c>
      <c r="DN389" s="369" t="s">
        <v>1586</v>
      </c>
      <c r="DO389" s="462" t="s">
        <v>1587</v>
      </c>
      <c r="DQ389" s="58" t="s">
        <v>231</v>
      </c>
    </row>
    <row r="390" spans="114:121" ht="15.75" customHeight="1">
      <c r="DJ390" s="369" t="s">
        <v>1590</v>
      </c>
      <c r="DK390" s="461" t="s">
        <v>1591</v>
      </c>
      <c r="DL390" s="369" t="s">
        <v>1578</v>
      </c>
      <c r="DM390" s="369" t="s">
        <v>1585</v>
      </c>
      <c r="DN390" s="369" t="s">
        <v>1586</v>
      </c>
      <c r="DO390" s="462" t="s">
        <v>1587</v>
      </c>
      <c r="DQ390" s="58" t="s">
        <v>231</v>
      </c>
    </row>
    <row r="391" spans="114:121" ht="15.75" customHeight="1">
      <c r="DJ391" s="369" t="s">
        <v>1592</v>
      </c>
      <c r="DK391" s="463" t="s">
        <v>1593</v>
      </c>
      <c r="DL391" s="369" t="s">
        <v>1578</v>
      </c>
      <c r="DM391" s="369" t="s">
        <v>1585</v>
      </c>
      <c r="DN391" s="369" t="s">
        <v>1586</v>
      </c>
      <c r="DO391" s="462" t="s">
        <v>1587</v>
      </c>
      <c r="DQ391" s="58" t="s">
        <v>231</v>
      </c>
    </row>
    <row r="392" spans="114:121" ht="15.75" customHeight="1">
      <c r="DJ392" s="369" t="s">
        <v>1594</v>
      </c>
      <c r="DK392" s="461" t="s">
        <v>1595</v>
      </c>
      <c r="DL392" s="369" t="s">
        <v>1578</v>
      </c>
      <c r="DM392" s="369" t="s">
        <v>1585</v>
      </c>
      <c r="DN392" s="369" t="s">
        <v>1586</v>
      </c>
      <c r="DO392" s="462" t="s">
        <v>1587</v>
      </c>
      <c r="DQ392" s="58" t="s">
        <v>231</v>
      </c>
    </row>
    <row r="393" spans="114:121" ht="15.75" customHeight="1">
      <c r="DJ393" s="369" t="s">
        <v>1596</v>
      </c>
      <c r="DK393" s="461" t="s">
        <v>1597</v>
      </c>
      <c r="DL393" s="369" t="s">
        <v>1578</v>
      </c>
      <c r="DM393" s="369" t="s">
        <v>1585</v>
      </c>
      <c r="DN393" s="369" t="s">
        <v>1586</v>
      </c>
      <c r="DO393" s="462" t="s">
        <v>1587</v>
      </c>
      <c r="DQ393" s="58" t="s">
        <v>231</v>
      </c>
    </row>
    <row r="394" spans="114:121" ht="15.75" customHeight="1">
      <c r="DJ394" s="369">
        <v>4729</v>
      </c>
      <c r="DK394" s="464" t="s">
        <v>2219</v>
      </c>
      <c r="DL394" s="369" t="s">
        <v>1578</v>
      </c>
      <c r="DM394" s="369" t="s">
        <v>1585</v>
      </c>
      <c r="DN394" s="369" t="s">
        <v>1586</v>
      </c>
      <c r="DO394" s="462" t="s">
        <v>1587</v>
      </c>
      <c r="DQ394" s="58" t="s">
        <v>231</v>
      </c>
    </row>
    <row r="395" spans="114:121" ht="15.75" customHeight="1">
      <c r="DJ395" s="369" t="s">
        <v>1598</v>
      </c>
      <c r="DK395" s="463" t="s">
        <v>1599</v>
      </c>
      <c r="DL395" s="369" t="s">
        <v>1418</v>
      </c>
      <c r="DM395" s="369" t="s">
        <v>1435</v>
      </c>
      <c r="DN395" s="369" t="s">
        <v>1436</v>
      </c>
      <c r="DO395" s="462" t="s">
        <v>1437</v>
      </c>
      <c r="DQ395" s="58" t="s">
        <v>231</v>
      </c>
    </row>
    <row r="396" spans="114:121" ht="15.75" customHeight="1">
      <c r="DJ396" s="369" t="s">
        <v>1600</v>
      </c>
      <c r="DK396" s="461" t="s">
        <v>1601</v>
      </c>
      <c r="DL396" s="369" t="s">
        <v>1578</v>
      </c>
      <c r="DM396" s="369" t="s">
        <v>1602</v>
      </c>
      <c r="DN396" s="369" t="s">
        <v>1603</v>
      </c>
      <c r="DO396" s="462" t="s">
        <v>1604</v>
      </c>
      <c r="DQ396" s="58" t="s">
        <v>231</v>
      </c>
    </row>
    <row r="397" spans="114:121" ht="15.75" customHeight="1">
      <c r="DJ397" s="369" t="s">
        <v>1605</v>
      </c>
      <c r="DK397" s="461" t="s">
        <v>1606</v>
      </c>
      <c r="DL397" s="369" t="s">
        <v>1578</v>
      </c>
      <c r="DM397" s="369" t="s">
        <v>1602</v>
      </c>
      <c r="DN397" s="369" t="s">
        <v>1603</v>
      </c>
      <c r="DO397" s="462" t="s">
        <v>1604</v>
      </c>
      <c r="DQ397" s="58" t="s">
        <v>231</v>
      </c>
    </row>
    <row r="398" spans="114:121" ht="15.75" customHeight="1">
      <c r="DJ398" s="369" t="s">
        <v>1607</v>
      </c>
      <c r="DK398" s="461" t="s">
        <v>1608</v>
      </c>
      <c r="DL398" s="369" t="s">
        <v>1578</v>
      </c>
      <c r="DM398" s="369" t="s">
        <v>1609</v>
      </c>
      <c r="DN398" s="369" t="s">
        <v>1610</v>
      </c>
      <c r="DO398" s="462" t="s">
        <v>1611</v>
      </c>
      <c r="DQ398" s="58" t="s">
        <v>231</v>
      </c>
    </row>
    <row r="399" spans="114:121" ht="15.75" customHeight="1">
      <c r="DJ399" s="369" t="s">
        <v>1612</v>
      </c>
      <c r="DK399" s="461" t="s">
        <v>1613</v>
      </c>
      <c r="DL399" s="369" t="s">
        <v>1578</v>
      </c>
      <c r="DM399" s="369" t="s">
        <v>1614</v>
      </c>
      <c r="DN399" s="369" t="s">
        <v>1615</v>
      </c>
      <c r="DO399" s="462" t="s">
        <v>1612</v>
      </c>
      <c r="DQ399" s="58" t="s">
        <v>231</v>
      </c>
    </row>
    <row r="400" spans="114:121" ht="15.75" customHeight="1">
      <c r="DJ400" s="369" t="s">
        <v>1616</v>
      </c>
      <c r="DK400" s="463" t="s">
        <v>1617</v>
      </c>
      <c r="DL400" s="369" t="s">
        <v>1578</v>
      </c>
      <c r="DM400" s="369" t="s">
        <v>1618</v>
      </c>
      <c r="DN400" s="369" t="s">
        <v>1619</v>
      </c>
      <c r="DO400" s="462" t="s">
        <v>1620</v>
      </c>
      <c r="DQ400" s="58" t="s">
        <v>231</v>
      </c>
    </row>
    <row r="401" spans="114:121" ht="15.75" customHeight="1">
      <c r="DJ401" s="369" t="s">
        <v>1621</v>
      </c>
      <c r="DK401" s="463" t="s">
        <v>1622</v>
      </c>
      <c r="DL401" s="369" t="s">
        <v>1578</v>
      </c>
      <c r="DM401" s="369" t="s">
        <v>1602</v>
      </c>
      <c r="DN401" s="369" t="s">
        <v>1603</v>
      </c>
      <c r="DO401" s="462" t="s">
        <v>1604</v>
      </c>
      <c r="DQ401" s="58" t="s">
        <v>231</v>
      </c>
    </row>
    <row r="402" spans="114:121" ht="15.75" customHeight="1">
      <c r="DJ402" s="369" t="s">
        <v>1623</v>
      </c>
      <c r="DK402" s="461" t="s">
        <v>1624</v>
      </c>
      <c r="DL402" s="369" t="s">
        <v>1578</v>
      </c>
      <c r="DM402" s="369" t="s">
        <v>1609</v>
      </c>
      <c r="DN402" s="369" t="s">
        <v>1610</v>
      </c>
      <c r="DO402" s="462" t="s">
        <v>1611</v>
      </c>
      <c r="DQ402" s="58" t="s">
        <v>231</v>
      </c>
    </row>
    <row r="403" spans="114:121" ht="15.75" customHeight="1">
      <c r="DJ403" s="369" t="s">
        <v>1625</v>
      </c>
      <c r="DK403" s="463" t="s">
        <v>1626</v>
      </c>
      <c r="DL403" s="369" t="s">
        <v>1578</v>
      </c>
      <c r="DM403" s="369" t="s">
        <v>1627</v>
      </c>
      <c r="DN403" s="369" t="s">
        <v>1628</v>
      </c>
      <c r="DO403" s="462" t="s">
        <v>1625</v>
      </c>
      <c r="DQ403" s="58" t="s">
        <v>231</v>
      </c>
    </row>
    <row r="404" spans="114:121" ht="15.75" customHeight="1">
      <c r="DJ404" s="369" t="s">
        <v>1629</v>
      </c>
      <c r="DK404" s="461" t="s">
        <v>1630</v>
      </c>
      <c r="DL404" s="369" t="s">
        <v>1578</v>
      </c>
      <c r="DM404" s="369" t="s">
        <v>1618</v>
      </c>
      <c r="DN404" s="369" t="s">
        <v>1619</v>
      </c>
      <c r="DO404" s="462" t="s">
        <v>1620</v>
      </c>
      <c r="DQ404" s="58" t="s">
        <v>231</v>
      </c>
    </row>
    <row r="405" spans="114:121" ht="15.75" customHeight="1">
      <c r="DJ405" s="369" t="s">
        <v>1631</v>
      </c>
      <c r="DK405" s="463" t="s">
        <v>1632</v>
      </c>
      <c r="DL405" s="369" t="s">
        <v>1578</v>
      </c>
      <c r="DM405" s="369" t="s">
        <v>1618</v>
      </c>
      <c r="DN405" s="369" t="s">
        <v>1619</v>
      </c>
      <c r="DO405" s="462" t="s">
        <v>1620</v>
      </c>
      <c r="DQ405" s="58" t="s">
        <v>231</v>
      </c>
    </row>
    <row r="406" spans="114:121" ht="15.75" customHeight="1">
      <c r="DJ406" s="369" t="s">
        <v>1633</v>
      </c>
      <c r="DK406" s="461" t="s">
        <v>1634</v>
      </c>
      <c r="DL406" s="369" t="s">
        <v>1578</v>
      </c>
      <c r="DM406" s="369" t="s">
        <v>1609</v>
      </c>
      <c r="DN406" s="369" t="s">
        <v>1610</v>
      </c>
      <c r="DO406" s="462" t="s">
        <v>1611</v>
      </c>
      <c r="DQ406" s="58" t="s">
        <v>231</v>
      </c>
    </row>
    <row r="407" spans="114:121" ht="15.75" customHeight="1">
      <c r="DJ407" s="369" t="s">
        <v>1635</v>
      </c>
      <c r="DK407" s="461" t="s">
        <v>1636</v>
      </c>
      <c r="DL407" s="369" t="s">
        <v>1578</v>
      </c>
      <c r="DM407" s="369" t="s">
        <v>1602</v>
      </c>
      <c r="DN407" s="369" t="s">
        <v>1603</v>
      </c>
      <c r="DO407" s="462" t="s">
        <v>1604</v>
      </c>
      <c r="DQ407" s="58" t="s">
        <v>231</v>
      </c>
    </row>
    <row r="408" spans="114:121" ht="15.75" customHeight="1">
      <c r="DJ408" s="369" t="s">
        <v>1637</v>
      </c>
      <c r="DK408" s="463" t="s">
        <v>1638</v>
      </c>
      <c r="DL408" s="369" t="s">
        <v>1578</v>
      </c>
      <c r="DM408" s="369" t="s">
        <v>1602</v>
      </c>
      <c r="DN408" s="369" t="s">
        <v>1603</v>
      </c>
      <c r="DO408" s="462" t="s">
        <v>1604</v>
      </c>
      <c r="DQ408" s="58" t="s">
        <v>231</v>
      </c>
    </row>
    <row r="409" spans="114:121" ht="15.75" customHeight="1">
      <c r="DJ409" s="369" t="s">
        <v>1639</v>
      </c>
      <c r="DK409" s="461" t="s">
        <v>1640</v>
      </c>
      <c r="DL409" s="369" t="s">
        <v>1578</v>
      </c>
      <c r="DM409" s="369" t="s">
        <v>1641</v>
      </c>
      <c r="DN409" s="369" t="s">
        <v>1642</v>
      </c>
      <c r="DO409" s="462" t="s">
        <v>1639</v>
      </c>
      <c r="DQ409" s="58" t="s">
        <v>231</v>
      </c>
    </row>
    <row r="410" spans="114:121" ht="15.75" customHeight="1">
      <c r="DJ410" s="369" t="s">
        <v>1643</v>
      </c>
      <c r="DK410" s="461" t="s">
        <v>1644</v>
      </c>
      <c r="DL410" s="369" t="s">
        <v>1578</v>
      </c>
      <c r="DM410" s="369" t="s">
        <v>1645</v>
      </c>
      <c r="DN410" s="369" t="s">
        <v>1646</v>
      </c>
      <c r="DO410" s="462" t="s">
        <v>1643</v>
      </c>
      <c r="DQ410" s="58" t="s">
        <v>231</v>
      </c>
    </row>
    <row r="411" spans="114:121" ht="15.75" customHeight="1">
      <c r="DJ411" s="369" t="s">
        <v>1647</v>
      </c>
      <c r="DK411" s="461" t="s">
        <v>1648</v>
      </c>
      <c r="DL411" s="369" t="s">
        <v>1578</v>
      </c>
      <c r="DM411" s="369" t="s">
        <v>1649</v>
      </c>
      <c r="DN411" s="369" t="s">
        <v>1650</v>
      </c>
      <c r="DO411" s="462" t="s">
        <v>1647</v>
      </c>
      <c r="DQ411" s="58" t="s">
        <v>231</v>
      </c>
    </row>
    <row r="412" spans="114:121" ht="15.75" customHeight="1">
      <c r="DJ412" s="369" t="s">
        <v>1651</v>
      </c>
      <c r="DK412" s="461" t="s">
        <v>1652</v>
      </c>
      <c r="DL412" s="369" t="s">
        <v>1578</v>
      </c>
      <c r="DM412" s="369" t="s">
        <v>1653</v>
      </c>
      <c r="DN412" s="369" t="s">
        <v>1654</v>
      </c>
      <c r="DO412" s="462" t="s">
        <v>1655</v>
      </c>
      <c r="DQ412" s="58" t="s">
        <v>231</v>
      </c>
    </row>
    <row r="413" spans="114:121" ht="15.75" customHeight="1">
      <c r="DJ413" s="369" t="s">
        <v>1656</v>
      </c>
      <c r="DK413" s="463" t="s">
        <v>1657</v>
      </c>
      <c r="DL413" s="369" t="s">
        <v>1578</v>
      </c>
      <c r="DM413" s="369" t="s">
        <v>1653</v>
      </c>
      <c r="DN413" s="369" t="s">
        <v>1654</v>
      </c>
      <c r="DO413" s="462" t="s">
        <v>1655</v>
      </c>
      <c r="DQ413" s="58" t="s">
        <v>231</v>
      </c>
    </row>
    <row r="414" spans="114:121" ht="15.75" customHeight="1">
      <c r="DJ414" s="369" t="s">
        <v>1658</v>
      </c>
      <c r="DK414" s="463" t="s">
        <v>1659</v>
      </c>
      <c r="DL414" s="369" t="s">
        <v>1578</v>
      </c>
      <c r="DM414" s="369" t="s">
        <v>1602</v>
      </c>
      <c r="DN414" s="369" t="s">
        <v>1603</v>
      </c>
      <c r="DO414" s="462" t="s">
        <v>1604</v>
      </c>
      <c r="DQ414" s="58" t="s">
        <v>231</v>
      </c>
    </row>
    <row r="415" spans="114:121" ht="15.75" customHeight="1">
      <c r="DJ415" s="369" t="s">
        <v>1660</v>
      </c>
      <c r="DK415" s="461" t="s">
        <v>1661</v>
      </c>
      <c r="DL415" s="369" t="s">
        <v>1578</v>
      </c>
      <c r="DM415" s="369" t="s">
        <v>1602</v>
      </c>
      <c r="DN415" s="369" t="s">
        <v>1603</v>
      </c>
      <c r="DO415" s="462" t="s">
        <v>1604</v>
      </c>
      <c r="DQ415" s="58" t="s">
        <v>231</v>
      </c>
    </row>
    <row r="416" spans="114:121" ht="15.75" customHeight="1">
      <c r="DJ416" s="369" t="s">
        <v>1662</v>
      </c>
      <c r="DK416" s="461" t="s">
        <v>1663</v>
      </c>
      <c r="DL416" s="369" t="s">
        <v>1578</v>
      </c>
      <c r="DM416" s="369" t="s">
        <v>1602</v>
      </c>
      <c r="DN416" s="369" t="s">
        <v>1603</v>
      </c>
      <c r="DO416" s="462" t="s">
        <v>1604</v>
      </c>
      <c r="DQ416" s="58" t="s">
        <v>231</v>
      </c>
    </row>
    <row r="417" spans="114:121" ht="15.75" customHeight="1">
      <c r="DJ417" s="369" t="s">
        <v>1664</v>
      </c>
      <c r="DK417" s="463" t="s">
        <v>1665</v>
      </c>
      <c r="DL417" s="369" t="s">
        <v>1578</v>
      </c>
      <c r="DM417" s="369" t="s">
        <v>1666</v>
      </c>
      <c r="DN417" s="369" t="s">
        <v>1667</v>
      </c>
      <c r="DO417" s="462" t="s">
        <v>1668</v>
      </c>
      <c r="DQ417" s="58" t="s">
        <v>231</v>
      </c>
    </row>
    <row r="418" spans="114:121" ht="15.75" customHeight="1">
      <c r="DJ418" s="369" t="s">
        <v>1669</v>
      </c>
      <c r="DK418" s="461" t="s">
        <v>1670</v>
      </c>
      <c r="DL418" s="369" t="s">
        <v>1578</v>
      </c>
      <c r="DM418" s="369" t="s">
        <v>1666</v>
      </c>
      <c r="DN418" s="369" t="s">
        <v>1667</v>
      </c>
      <c r="DO418" s="462" t="s">
        <v>1668</v>
      </c>
      <c r="DQ418" s="58" t="s">
        <v>231</v>
      </c>
    </row>
    <row r="419" spans="114:121" ht="15.75" customHeight="1">
      <c r="DJ419" s="369" t="s">
        <v>1671</v>
      </c>
      <c r="DK419" s="461" t="s">
        <v>1672</v>
      </c>
      <c r="DL419" s="369" t="s">
        <v>1578</v>
      </c>
      <c r="DM419" s="369" t="s">
        <v>1666</v>
      </c>
      <c r="DN419" s="369" t="s">
        <v>1667</v>
      </c>
      <c r="DO419" s="462" t="s">
        <v>1668</v>
      </c>
      <c r="DQ419" s="58" t="s">
        <v>231</v>
      </c>
    </row>
    <row r="420" spans="114:121" ht="15.75" customHeight="1">
      <c r="DJ420" s="369" t="s">
        <v>1673</v>
      </c>
      <c r="DK420" s="461" t="s">
        <v>1674</v>
      </c>
      <c r="DL420" s="369" t="s">
        <v>1578</v>
      </c>
      <c r="DM420" s="369" t="s">
        <v>1666</v>
      </c>
      <c r="DN420" s="369" t="s">
        <v>1667</v>
      </c>
      <c r="DO420" s="462" t="s">
        <v>1668</v>
      </c>
      <c r="DQ420" s="58" t="s">
        <v>231</v>
      </c>
    </row>
    <row r="421" spans="114:121" ht="15.75" customHeight="1">
      <c r="DJ421" s="369" t="s">
        <v>1675</v>
      </c>
      <c r="DK421" s="461" t="s">
        <v>1676</v>
      </c>
      <c r="DL421" s="369" t="s">
        <v>1578</v>
      </c>
      <c r="DM421" s="369" t="s">
        <v>1666</v>
      </c>
      <c r="DN421" s="369" t="s">
        <v>1667</v>
      </c>
      <c r="DO421" s="462" t="s">
        <v>1668</v>
      </c>
      <c r="DQ421" s="58" t="s">
        <v>231</v>
      </c>
    </row>
    <row r="422" spans="114:121" ht="15.75" customHeight="1">
      <c r="DJ422" s="369" t="s">
        <v>1677</v>
      </c>
      <c r="DK422" s="461" t="s">
        <v>1678</v>
      </c>
      <c r="DL422" s="369" t="s">
        <v>1578</v>
      </c>
      <c r="DM422" s="369" t="s">
        <v>1666</v>
      </c>
      <c r="DN422" s="369" t="s">
        <v>1667</v>
      </c>
      <c r="DO422" s="462" t="s">
        <v>1668</v>
      </c>
      <c r="DQ422" s="58" t="s">
        <v>231</v>
      </c>
    </row>
    <row r="423" spans="114:121" ht="15.75" customHeight="1">
      <c r="DJ423" s="369" t="s">
        <v>1679</v>
      </c>
      <c r="DK423" s="463" t="s">
        <v>1680</v>
      </c>
      <c r="DL423" s="369" t="s">
        <v>1681</v>
      </c>
      <c r="DM423" s="369" t="s">
        <v>1682</v>
      </c>
      <c r="DN423" s="369" t="s">
        <v>1683</v>
      </c>
      <c r="DO423" s="462" t="s">
        <v>1684</v>
      </c>
      <c r="DQ423" s="58" t="s">
        <v>231</v>
      </c>
    </row>
    <row r="424" spans="114:121" ht="15.75" customHeight="1">
      <c r="DJ424" s="369" t="s">
        <v>1685</v>
      </c>
      <c r="DK424" s="461" t="s">
        <v>1686</v>
      </c>
      <c r="DL424" s="369" t="s">
        <v>1681</v>
      </c>
      <c r="DM424" s="369" t="s">
        <v>1682</v>
      </c>
      <c r="DN424" s="369" t="s">
        <v>1683</v>
      </c>
      <c r="DO424" s="462" t="s">
        <v>1684</v>
      </c>
      <c r="DQ424" s="58" t="s">
        <v>231</v>
      </c>
    </row>
    <row r="425" spans="114:121" ht="15.75" customHeight="1">
      <c r="DJ425" s="369" t="s">
        <v>1687</v>
      </c>
      <c r="DK425" s="461" t="s">
        <v>1688</v>
      </c>
      <c r="DL425" s="369" t="s">
        <v>1681</v>
      </c>
      <c r="DM425" s="369" t="s">
        <v>1689</v>
      </c>
      <c r="DN425" s="369" t="s">
        <v>1690</v>
      </c>
      <c r="DO425" s="462" t="s">
        <v>1691</v>
      </c>
      <c r="DQ425" s="58" t="s">
        <v>231</v>
      </c>
    </row>
    <row r="426" spans="114:121" ht="15.75" customHeight="1">
      <c r="DJ426" s="369" t="s">
        <v>1692</v>
      </c>
      <c r="DK426" s="461" t="s">
        <v>1693</v>
      </c>
      <c r="DL426" s="369" t="s">
        <v>1681</v>
      </c>
      <c r="DM426" s="369" t="s">
        <v>1689</v>
      </c>
      <c r="DN426" s="369" t="s">
        <v>1690</v>
      </c>
      <c r="DO426" s="462" t="s">
        <v>1691</v>
      </c>
      <c r="DQ426" s="58" t="s">
        <v>231</v>
      </c>
    </row>
    <row r="427" spans="114:121" ht="15.75" customHeight="1">
      <c r="DJ427" s="369" t="s">
        <v>1694</v>
      </c>
      <c r="DK427" s="461" t="s">
        <v>1695</v>
      </c>
      <c r="DL427" s="369" t="s">
        <v>1681</v>
      </c>
      <c r="DM427" s="369" t="s">
        <v>1689</v>
      </c>
      <c r="DN427" s="369" t="s">
        <v>1690</v>
      </c>
      <c r="DO427" s="462" t="s">
        <v>1691</v>
      </c>
      <c r="DQ427" s="58" t="s">
        <v>231</v>
      </c>
    </row>
    <row r="428" spans="114:121" ht="15.75" customHeight="1">
      <c r="DJ428" s="369" t="s">
        <v>1696</v>
      </c>
      <c r="DK428" s="461" t="s">
        <v>1697</v>
      </c>
      <c r="DL428" s="369" t="s">
        <v>1681</v>
      </c>
      <c r="DM428" s="369" t="s">
        <v>1698</v>
      </c>
      <c r="DN428" s="369" t="s">
        <v>1699</v>
      </c>
      <c r="DO428" s="462" t="s">
        <v>1700</v>
      </c>
      <c r="DQ428" s="58" t="s">
        <v>231</v>
      </c>
    </row>
    <row r="429" spans="114:121" ht="15.75" customHeight="1">
      <c r="DJ429" s="369" t="s">
        <v>1701</v>
      </c>
      <c r="DK429" s="461" t="s">
        <v>1702</v>
      </c>
      <c r="DL429" s="369" t="s">
        <v>1681</v>
      </c>
      <c r="DM429" s="369" t="s">
        <v>1698</v>
      </c>
      <c r="DN429" s="369" t="s">
        <v>1699</v>
      </c>
      <c r="DO429" s="462" t="s">
        <v>1700</v>
      </c>
      <c r="DQ429" s="58" t="s">
        <v>231</v>
      </c>
    </row>
    <row r="430" spans="114:121" ht="15.75" customHeight="1">
      <c r="DJ430" s="369" t="s">
        <v>1703</v>
      </c>
      <c r="DK430" s="461" t="s">
        <v>1704</v>
      </c>
      <c r="DL430" s="369" t="s">
        <v>1681</v>
      </c>
      <c r="DM430" s="369" t="s">
        <v>1682</v>
      </c>
      <c r="DN430" s="369" t="s">
        <v>1683</v>
      </c>
      <c r="DO430" s="462" t="s">
        <v>1684</v>
      </c>
      <c r="DQ430" s="58" t="s">
        <v>231</v>
      </c>
    </row>
    <row r="431" spans="114:121" ht="15.75" customHeight="1">
      <c r="DJ431" s="369" t="s">
        <v>1705</v>
      </c>
      <c r="DK431" s="461" t="s">
        <v>1706</v>
      </c>
      <c r="DL431" s="369" t="s">
        <v>1681</v>
      </c>
      <c r="DM431" s="369" t="s">
        <v>1707</v>
      </c>
      <c r="DN431" s="369" t="s">
        <v>1708</v>
      </c>
      <c r="DO431" s="462" t="s">
        <v>1709</v>
      </c>
      <c r="DQ431" s="58" t="s">
        <v>231</v>
      </c>
    </row>
    <row r="432" spans="114:121" ht="15.75" customHeight="1">
      <c r="DJ432" s="369" t="s">
        <v>1710</v>
      </c>
      <c r="DK432" s="461" t="s">
        <v>1711</v>
      </c>
      <c r="DL432" s="369" t="s">
        <v>1681</v>
      </c>
      <c r="DM432" s="369" t="s">
        <v>1707</v>
      </c>
      <c r="DN432" s="369" t="s">
        <v>1708</v>
      </c>
      <c r="DO432" s="462" t="s">
        <v>1709</v>
      </c>
      <c r="DQ432" s="58" t="s">
        <v>231</v>
      </c>
    </row>
    <row r="433" spans="114:121" ht="15.75" customHeight="1">
      <c r="DJ433" s="369" t="s">
        <v>1712</v>
      </c>
      <c r="DK433" s="463" t="s">
        <v>1713</v>
      </c>
      <c r="DL433" s="369" t="s">
        <v>1681</v>
      </c>
      <c r="DM433" s="369" t="s">
        <v>1707</v>
      </c>
      <c r="DN433" s="369" t="s">
        <v>1708</v>
      </c>
      <c r="DO433" s="462" t="s">
        <v>1709</v>
      </c>
      <c r="DQ433" s="58" t="s">
        <v>231</v>
      </c>
    </row>
    <row r="434" spans="114:121" ht="15.75" customHeight="1">
      <c r="DJ434" s="369" t="s">
        <v>1714</v>
      </c>
      <c r="DK434" s="463" t="s">
        <v>1715</v>
      </c>
      <c r="DL434" s="369" t="s">
        <v>1681</v>
      </c>
      <c r="DM434" s="369" t="s">
        <v>1707</v>
      </c>
      <c r="DN434" s="369" t="s">
        <v>1708</v>
      </c>
      <c r="DO434" s="462" t="s">
        <v>1709</v>
      </c>
      <c r="DQ434" s="58" t="s">
        <v>231</v>
      </c>
    </row>
    <row r="435" spans="114:121" ht="15.75" customHeight="1">
      <c r="DJ435" s="369" t="s">
        <v>1716</v>
      </c>
      <c r="DK435" s="461" t="s">
        <v>1717</v>
      </c>
      <c r="DL435" s="369" t="s">
        <v>1681</v>
      </c>
      <c r="DM435" s="369" t="s">
        <v>1718</v>
      </c>
      <c r="DN435" s="369" t="s">
        <v>1719</v>
      </c>
      <c r="DO435" s="462" t="s">
        <v>1720</v>
      </c>
      <c r="DQ435" s="58" t="s">
        <v>231</v>
      </c>
    </row>
    <row r="436" spans="114:121" ht="15.75" customHeight="1">
      <c r="DJ436" s="369" t="s">
        <v>1721</v>
      </c>
      <c r="DK436" s="461" t="s">
        <v>1722</v>
      </c>
      <c r="DL436" s="369" t="s">
        <v>1681</v>
      </c>
      <c r="DM436" s="369" t="s">
        <v>1718</v>
      </c>
      <c r="DN436" s="369" t="s">
        <v>1719</v>
      </c>
      <c r="DO436" s="462" t="s">
        <v>1720</v>
      </c>
      <c r="DQ436" s="58" t="s">
        <v>231</v>
      </c>
    </row>
    <row r="437" spans="114:121" ht="15.75" customHeight="1">
      <c r="DJ437" s="369" t="s">
        <v>1723</v>
      </c>
      <c r="DK437" s="461" t="s">
        <v>1724</v>
      </c>
      <c r="DL437" s="369" t="s">
        <v>1681</v>
      </c>
      <c r="DM437" s="369" t="s">
        <v>1718</v>
      </c>
      <c r="DN437" s="369" t="s">
        <v>1719</v>
      </c>
      <c r="DO437" s="462" t="s">
        <v>1720</v>
      </c>
      <c r="DQ437" s="58" t="s">
        <v>231</v>
      </c>
    </row>
    <row r="438" spans="114:121" ht="15.75" customHeight="1">
      <c r="DJ438" s="369" t="s">
        <v>1725</v>
      </c>
      <c r="DK438" s="461" t="s">
        <v>1726</v>
      </c>
      <c r="DL438" s="369" t="s">
        <v>1681</v>
      </c>
      <c r="DM438" s="369" t="s">
        <v>1727</v>
      </c>
      <c r="DN438" s="369" t="s">
        <v>1728</v>
      </c>
      <c r="DO438" s="462" t="s">
        <v>1729</v>
      </c>
      <c r="DQ438" s="58" t="s">
        <v>231</v>
      </c>
    </row>
    <row r="439" spans="114:121" ht="15.75" customHeight="1">
      <c r="DJ439" s="369" t="s">
        <v>1730</v>
      </c>
      <c r="DK439" s="461" t="s">
        <v>1731</v>
      </c>
      <c r="DL439" s="369" t="s">
        <v>1681</v>
      </c>
      <c r="DM439" s="369" t="s">
        <v>1727</v>
      </c>
      <c r="DN439" s="369" t="s">
        <v>1728</v>
      </c>
      <c r="DO439" s="462" t="s">
        <v>1729</v>
      </c>
      <c r="DQ439" s="58" t="s">
        <v>231</v>
      </c>
    </row>
    <row r="440" spans="114:121" ht="15.75" customHeight="1">
      <c r="DJ440" s="369" t="s">
        <v>1732</v>
      </c>
      <c r="DK440" s="461" t="s">
        <v>1733</v>
      </c>
      <c r="DL440" s="369" t="s">
        <v>1681</v>
      </c>
      <c r="DM440" s="369" t="s">
        <v>1727</v>
      </c>
      <c r="DN440" s="369" t="s">
        <v>1728</v>
      </c>
      <c r="DO440" s="462" t="s">
        <v>1729</v>
      </c>
      <c r="DQ440" s="58" t="s">
        <v>231</v>
      </c>
    </row>
    <row r="441" spans="114:121" ht="15.75" customHeight="1">
      <c r="DJ441" s="369" t="s">
        <v>1734</v>
      </c>
      <c r="DK441" s="461" t="s">
        <v>1735</v>
      </c>
      <c r="DL441" s="369" t="s">
        <v>1681</v>
      </c>
      <c r="DM441" s="369" t="s">
        <v>1727</v>
      </c>
      <c r="DN441" s="369" t="s">
        <v>1728</v>
      </c>
      <c r="DO441" s="462" t="s">
        <v>1729</v>
      </c>
      <c r="DQ441" s="58" t="s">
        <v>231</v>
      </c>
    </row>
    <row r="442" spans="114:121" ht="15.75" customHeight="1">
      <c r="DJ442" s="369" t="s">
        <v>1736</v>
      </c>
      <c r="DK442" s="461" t="s">
        <v>1737</v>
      </c>
      <c r="DL442" s="369" t="s">
        <v>1681</v>
      </c>
      <c r="DM442" s="369" t="s">
        <v>1727</v>
      </c>
      <c r="DN442" s="369" t="s">
        <v>1728</v>
      </c>
      <c r="DO442" s="462" t="s">
        <v>1729</v>
      </c>
      <c r="DQ442" s="58" t="s">
        <v>231</v>
      </c>
    </row>
    <row r="443" spans="114:121" ht="15.75" customHeight="1">
      <c r="DJ443" s="369" t="s">
        <v>1738</v>
      </c>
      <c r="DK443" s="461" t="s">
        <v>1739</v>
      </c>
      <c r="DL443" s="369" t="s">
        <v>1681</v>
      </c>
      <c r="DM443" s="369" t="s">
        <v>1740</v>
      </c>
      <c r="DN443" s="369" t="s">
        <v>1741</v>
      </c>
      <c r="DO443" s="462" t="s">
        <v>1738</v>
      </c>
      <c r="DQ443" s="58" t="s">
        <v>231</v>
      </c>
    </row>
    <row r="444" spans="114:121" ht="15.75" customHeight="1">
      <c r="DJ444" s="369" t="s">
        <v>1742</v>
      </c>
      <c r="DK444" s="461" t="s">
        <v>1743</v>
      </c>
      <c r="DL444" s="369" t="s">
        <v>1744</v>
      </c>
      <c r="DM444" s="369" t="s">
        <v>1744</v>
      </c>
      <c r="DN444" s="369" t="s">
        <v>1745</v>
      </c>
      <c r="DO444" s="462" t="s">
        <v>1746</v>
      </c>
      <c r="DQ444" s="58" t="s">
        <v>231</v>
      </c>
    </row>
    <row r="445" spans="114:121" ht="15.75" customHeight="1">
      <c r="DJ445" s="369" t="s">
        <v>1747</v>
      </c>
      <c r="DK445" s="461" t="s">
        <v>1748</v>
      </c>
      <c r="DL445" s="369" t="s">
        <v>1744</v>
      </c>
      <c r="DM445" s="369" t="s">
        <v>1744</v>
      </c>
      <c r="DN445" s="369" t="s">
        <v>1745</v>
      </c>
      <c r="DO445" s="462" t="s">
        <v>1746</v>
      </c>
      <c r="DQ445" s="58" t="s">
        <v>231</v>
      </c>
    </row>
    <row r="446" spans="114:121" ht="15.75" customHeight="1">
      <c r="DJ446" s="369" t="s">
        <v>1749</v>
      </c>
      <c r="DK446" s="461" t="s">
        <v>1750</v>
      </c>
      <c r="DL446" s="369" t="s">
        <v>1751</v>
      </c>
      <c r="DM446" s="369" t="s">
        <v>1752</v>
      </c>
      <c r="DN446" s="369" t="s">
        <v>1753</v>
      </c>
      <c r="DO446" s="462" t="s">
        <v>1754</v>
      </c>
      <c r="DQ446" s="58" t="s">
        <v>231</v>
      </c>
    </row>
    <row r="447" spans="114:121" ht="15.75" customHeight="1">
      <c r="DJ447" s="369" t="s">
        <v>1755</v>
      </c>
      <c r="DK447" s="461" t="s">
        <v>1756</v>
      </c>
      <c r="DL447" s="369" t="s">
        <v>1751</v>
      </c>
      <c r="DM447" s="369" t="s">
        <v>1752</v>
      </c>
      <c r="DN447" s="369" t="s">
        <v>1753</v>
      </c>
      <c r="DO447" s="462" t="s">
        <v>1754</v>
      </c>
      <c r="DQ447" s="58" t="s">
        <v>231</v>
      </c>
    </row>
    <row r="448" spans="114:121" ht="15.75" customHeight="1">
      <c r="DJ448" s="369" t="s">
        <v>1757</v>
      </c>
      <c r="DK448" s="463" t="s">
        <v>1758</v>
      </c>
      <c r="DL448" s="369" t="s">
        <v>1751</v>
      </c>
      <c r="DM448" s="369" t="s">
        <v>1752</v>
      </c>
      <c r="DN448" s="369" t="s">
        <v>1753</v>
      </c>
      <c r="DO448" s="462" t="s">
        <v>1754</v>
      </c>
      <c r="DQ448" s="58" t="s">
        <v>231</v>
      </c>
    </row>
    <row r="449" spans="114:121" ht="15.75" customHeight="1">
      <c r="DJ449" s="369" t="s">
        <v>1759</v>
      </c>
      <c r="DK449" s="461" t="s">
        <v>1760</v>
      </c>
      <c r="DL449" s="369" t="s">
        <v>1751</v>
      </c>
      <c r="DM449" s="369" t="s">
        <v>1752</v>
      </c>
      <c r="DN449" s="369" t="s">
        <v>1753</v>
      </c>
      <c r="DO449" s="462" t="s">
        <v>1754</v>
      </c>
      <c r="DQ449" s="58" t="s">
        <v>231</v>
      </c>
    </row>
    <row r="450" spans="114:121" ht="15.75" customHeight="1">
      <c r="DJ450" s="369" t="s">
        <v>1761</v>
      </c>
      <c r="DK450" s="461" t="s">
        <v>1762</v>
      </c>
      <c r="DL450" s="369" t="s">
        <v>1751</v>
      </c>
      <c r="DM450" s="369" t="s">
        <v>1763</v>
      </c>
      <c r="DN450" s="369" t="s">
        <v>1764</v>
      </c>
      <c r="DO450" s="462" t="s">
        <v>1765</v>
      </c>
      <c r="DQ450" s="58" t="s">
        <v>231</v>
      </c>
    </row>
    <row r="451" spans="114:121" ht="15.75" customHeight="1">
      <c r="DJ451" s="369" t="s">
        <v>1766</v>
      </c>
      <c r="DK451" s="461" t="s">
        <v>1767</v>
      </c>
      <c r="DL451" s="369" t="s">
        <v>1751</v>
      </c>
      <c r="DM451" s="369" t="s">
        <v>1768</v>
      </c>
      <c r="DN451" s="369" t="s">
        <v>1769</v>
      </c>
      <c r="DO451" s="462" t="s">
        <v>1770</v>
      </c>
      <c r="DQ451" s="58" t="s">
        <v>231</v>
      </c>
    </row>
    <row r="452" spans="114:121" ht="15.75" customHeight="1">
      <c r="DJ452" s="369" t="s">
        <v>1771</v>
      </c>
      <c r="DK452" s="461" t="s">
        <v>1772</v>
      </c>
      <c r="DL452" s="369" t="s">
        <v>1751</v>
      </c>
      <c r="DM452" s="369" t="s">
        <v>1768</v>
      </c>
      <c r="DN452" s="369" t="s">
        <v>1769</v>
      </c>
      <c r="DO452" s="462" t="s">
        <v>1770</v>
      </c>
      <c r="DQ452" s="58" t="s">
        <v>231</v>
      </c>
    </row>
    <row r="453" spans="114:121" ht="15.75" customHeight="1">
      <c r="DJ453" s="369" t="s">
        <v>1773</v>
      </c>
      <c r="DK453" s="461" t="s">
        <v>1774</v>
      </c>
      <c r="DL453" s="369" t="s">
        <v>1751</v>
      </c>
      <c r="DM453" s="369" t="s">
        <v>1763</v>
      </c>
      <c r="DN453" s="369" t="s">
        <v>1764</v>
      </c>
      <c r="DO453" s="462" t="s">
        <v>1765</v>
      </c>
      <c r="DQ453" s="58" t="s">
        <v>231</v>
      </c>
    </row>
    <row r="454" spans="114:121" ht="15.75" customHeight="1">
      <c r="DJ454" s="369" t="s">
        <v>1775</v>
      </c>
      <c r="DK454" s="461" t="s">
        <v>1776</v>
      </c>
      <c r="DL454" s="369" t="s">
        <v>1777</v>
      </c>
      <c r="DM454" s="369" t="s">
        <v>1778</v>
      </c>
      <c r="DN454" s="369" t="s">
        <v>1779</v>
      </c>
      <c r="DO454" s="462" t="s">
        <v>1780</v>
      </c>
      <c r="DQ454" s="58" t="s">
        <v>231</v>
      </c>
    </row>
    <row r="455" spans="114:121" ht="15.75" customHeight="1">
      <c r="DJ455" s="369" t="s">
        <v>1781</v>
      </c>
      <c r="DK455" s="461" t="s">
        <v>1782</v>
      </c>
      <c r="DL455" s="369" t="s">
        <v>1777</v>
      </c>
      <c r="DM455" s="369" t="s">
        <v>1778</v>
      </c>
      <c r="DN455" s="369" t="s">
        <v>1779</v>
      </c>
      <c r="DO455" s="462" t="s">
        <v>1780</v>
      </c>
      <c r="DQ455" s="58" t="s">
        <v>231</v>
      </c>
    </row>
    <row r="456" spans="114:121" ht="15.75" customHeight="1">
      <c r="DJ456" s="369" t="s">
        <v>1783</v>
      </c>
      <c r="DK456" s="461" t="s">
        <v>1784</v>
      </c>
      <c r="DL456" s="369" t="s">
        <v>1777</v>
      </c>
      <c r="DM456" s="369" t="s">
        <v>1778</v>
      </c>
      <c r="DN456" s="369" t="s">
        <v>1779</v>
      </c>
      <c r="DO456" s="462" t="s">
        <v>1780</v>
      </c>
      <c r="DQ456" s="58" t="s">
        <v>231</v>
      </c>
    </row>
    <row r="457" spans="114:121" ht="15.75" customHeight="1">
      <c r="DJ457" s="369" t="s">
        <v>1785</v>
      </c>
      <c r="DK457" s="463" t="s">
        <v>1786</v>
      </c>
      <c r="DL457" s="369" t="s">
        <v>1777</v>
      </c>
      <c r="DM457" s="369" t="s">
        <v>1778</v>
      </c>
      <c r="DN457" s="369" t="s">
        <v>1779</v>
      </c>
      <c r="DO457" s="462" t="s">
        <v>1780</v>
      </c>
      <c r="DQ457" s="58" t="s">
        <v>231</v>
      </c>
    </row>
    <row r="458" spans="114:121" ht="15.75" customHeight="1">
      <c r="DJ458" s="369" t="s">
        <v>1787</v>
      </c>
      <c r="DK458" s="461" t="s">
        <v>1788</v>
      </c>
      <c r="DL458" s="369" t="s">
        <v>1777</v>
      </c>
      <c r="DM458" s="369" t="s">
        <v>1778</v>
      </c>
      <c r="DN458" s="369" t="s">
        <v>1779</v>
      </c>
      <c r="DO458" s="462" t="s">
        <v>1780</v>
      </c>
      <c r="DQ458" s="58" t="s">
        <v>231</v>
      </c>
    </row>
    <row r="459" spans="114:121" ht="15.75" customHeight="1">
      <c r="DJ459" s="369" t="s">
        <v>1789</v>
      </c>
      <c r="DK459" s="461" t="s">
        <v>1790</v>
      </c>
      <c r="DL459" s="369" t="s">
        <v>1777</v>
      </c>
      <c r="DM459" s="369" t="s">
        <v>1791</v>
      </c>
      <c r="DN459" s="369" t="s">
        <v>1792</v>
      </c>
      <c r="DO459" s="462" t="s">
        <v>1793</v>
      </c>
      <c r="DQ459" s="58" t="s">
        <v>231</v>
      </c>
    </row>
    <row r="460" spans="114:121" ht="15.75" customHeight="1">
      <c r="DJ460" s="369" t="s">
        <v>1794</v>
      </c>
      <c r="DK460" s="461" t="s">
        <v>1795</v>
      </c>
      <c r="DL460" s="369" t="s">
        <v>1777</v>
      </c>
      <c r="DM460" s="369" t="s">
        <v>1791</v>
      </c>
      <c r="DN460" s="369" t="s">
        <v>1792</v>
      </c>
      <c r="DO460" s="462" t="s">
        <v>1793</v>
      </c>
      <c r="DQ460" s="58" t="s">
        <v>231</v>
      </c>
    </row>
    <row r="461" spans="114:121" ht="15.75" customHeight="1">
      <c r="DJ461" s="369" t="s">
        <v>1796</v>
      </c>
      <c r="DK461" s="461" t="s">
        <v>1797</v>
      </c>
      <c r="DL461" s="369" t="s">
        <v>1777</v>
      </c>
      <c r="DM461" s="369" t="s">
        <v>1798</v>
      </c>
      <c r="DN461" s="369" t="s">
        <v>1799</v>
      </c>
      <c r="DO461" s="462" t="s">
        <v>1800</v>
      </c>
      <c r="DQ461" s="58" t="s">
        <v>231</v>
      </c>
    </row>
    <row r="462" spans="114:121" ht="15.75" customHeight="1">
      <c r="DJ462" s="369" t="s">
        <v>1801</v>
      </c>
      <c r="DK462" s="461" t="s">
        <v>1802</v>
      </c>
      <c r="DL462" s="369" t="s">
        <v>1777</v>
      </c>
      <c r="DM462" s="369" t="s">
        <v>1798</v>
      </c>
      <c r="DN462" s="369" t="s">
        <v>1799</v>
      </c>
      <c r="DO462" s="462" t="s">
        <v>1800</v>
      </c>
      <c r="DQ462" s="58" t="s">
        <v>231</v>
      </c>
    </row>
    <row r="463" spans="114:121" ht="15.75" customHeight="1">
      <c r="DJ463" s="369" t="s">
        <v>1803</v>
      </c>
      <c r="DK463" s="461" t="s">
        <v>1804</v>
      </c>
      <c r="DL463" s="369" t="s">
        <v>1777</v>
      </c>
      <c r="DM463" s="369" t="s">
        <v>1798</v>
      </c>
      <c r="DN463" s="369" t="s">
        <v>1799</v>
      </c>
      <c r="DO463" s="462" t="s">
        <v>1800</v>
      </c>
      <c r="DQ463" s="58" t="s">
        <v>231</v>
      </c>
    </row>
    <row r="464" spans="114:121" ht="15.75" customHeight="1">
      <c r="DJ464" s="369" t="s">
        <v>1805</v>
      </c>
      <c r="DK464" s="461" t="s">
        <v>1806</v>
      </c>
      <c r="DL464" s="369" t="s">
        <v>1777</v>
      </c>
      <c r="DM464" s="369" t="s">
        <v>1798</v>
      </c>
      <c r="DN464" s="369" t="s">
        <v>1799</v>
      </c>
      <c r="DO464" s="462" t="s">
        <v>1800</v>
      </c>
      <c r="DQ464" s="58" t="s">
        <v>231</v>
      </c>
    </row>
    <row r="465" spans="114:121" ht="15.75" customHeight="1">
      <c r="DJ465" s="369" t="s">
        <v>1807</v>
      </c>
      <c r="DK465" s="461" t="s">
        <v>1808</v>
      </c>
      <c r="DL465" s="369" t="s">
        <v>857</v>
      </c>
      <c r="DM465" s="369" t="s">
        <v>1809</v>
      </c>
      <c r="DN465" s="369" t="s">
        <v>1779</v>
      </c>
      <c r="DO465" s="462" t="s">
        <v>1810</v>
      </c>
      <c r="DQ465" s="58" t="s">
        <v>231</v>
      </c>
    </row>
    <row r="466" spans="114:121" ht="15.75" customHeight="1">
      <c r="DJ466" s="369" t="s">
        <v>1811</v>
      </c>
      <c r="DK466" s="463" t="s">
        <v>1812</v>
      </c>
      <c r="DL466" s="369" t="s">
        <v>1777</v>
      </c>
      <c r="DM466" s="369" t="s">
        <v>1798</v>
      </c>
      <c r="DN466" s="369" t="s">
        <v>1799</v>
      </c>
      <c r="DO466" s="462" t="s">
        <v>1800</v>
      </c>
      <c r="DQ466" s="58" t="s">
        <v>231</v>
      </c>
    </row>
    <row r="467" spans="114:121" ht="15.75" customHeight="1">
      <c r="DJ467" s="369" t="s">
        <v>1813</v>
      </c>
      <c r="DK467" s="463" t="s">
        <v>1814</v>
      </c>
      <c r="DL467" s="369" t="s">
        <v>1777</v>
      </c>
      <c r="DM467" s="369" t="s">
        <v>1798</v>
      </c>
      <c r="DN467" s="369" t="s">
        <v>1799</v>
      </c>
      <c r="DO467" s="462" t="s">
        <v>1800</v>
      </c>
      <c r="DQ467" s="58" t="s">
        <v>231</v>
      </c>
    </row>
    <row r="468" spans="114:121" ht="15.75" customHeight="1">
      <c r="DJ468" s="369" t="s">
        <v>1815</v>
      </c>
      <c r="DK468" s="461" t="s">
        <v>1816</v>
      </c>
      <c r="DL468" s="369" t="s">
        <v>1777</v>
      </c>
      <c r="DM468" s="369" t="s">
        <v>1817</v>
      </c>
      <c r="DN468" s="369" t="s">
        <v>1818</v>
      </c>
      <c r="DO468" s="462" t="s">
        <v>99</v>
      </c>
      <c r="DQ468" s="58" t="s">
        <v>231</v>
      </c>
    </row>
    <row r="469" spans="114:121" ht="15.75" customHeight="1">
      <c r="DJ469" s="369" t="s">
        <v>1819</v>
      </c>
      <c r="DK469" s="461" t="s">
        <v>1820</v>
      </c>
      <c r="DL469" s="369" t="s">
        <v>1777</v>
      </c>
      <c r="DM469" s="369" t="s">
        <v>1817</v>
      </c>
      <c r="DN469" s="369" t="s">
        <v>1818</v>
      </c>
      <c r="DO469" s="462" t="s">
        <v>99</v>
      </c>
      <c r="DQ469" s="58" t="s">
        <v>231</v>
      </c>
    </row>
    <row r="470" spans="114:121" ht="15.75" customHeight="1">
      <c r="DJ470" s="369" t="s">
        <v>1821</v>
      </c>
      <c r="DK470" s="461" t="s">
        <v>1822</v>
      </c>
      <c r="DL470" s="369" t="s">
        <v>1777</v>
      </c>
      <c r="DM470" s="369" t="s">
        <v>1817</v>
      </c>
      <c r="DN470" s="369" t="s">
        <v>1818</v>
      </c>
      <c r="DO470" s="462" t="s">
        <v>99</v>
      </c>
      <c r="DQ470" s="58" t="s">
        <v>231</v>
      </c>
    </row>
    <row r="471" spans="114:121" ht="15.75" customHeight="1">
      <c r="DJ471" s="369" t="s">
        <v>1823</v>
      </c>
      <c r="DK471" s="461" t="s">
        <v>1824</v>
      </c>
      <c r="DL471" s="369" t="s">
        <v>1777</v>
      </c>
      <c r="DM471" s="369" t="s">
        <v>1817</v>
      </c>
      <c r="DN471" s="369" t="s">
        <v>1818</v>
      </c>
      <c r="DO471" s="462" t="s">
        <v>99</v>
      </c>
      <c r="DQ471" s="58" t="s">
        <v>231</v>
      </c>
    </row>
    <row r="472" spans="114:121" ht="15.75" customHeight="1">
      <c r="DJ472" s="369" t="s">
        <v>1825</v>
      </c>
      <c r="DK472" s="463" t="s">
        <v>1826</v>
      </c>
      <c r="DL472" s="369" t="s">
        <v>1777</v>
      </c>
      <c r="DM472" s="369" t="s">
        <v>1791</v>
      </c>
      <c r="DN472" s="369" t="s">
        <v>1792</v>
      </c>
      <c r="DO472" s="462" t="s">
        <v>1793</v>
      </c>
      <c r="DQ472" s="58" t="s">
        <v>231</v>
      </c>
    </row>
    <row r="473" spans="114:121" ht="15.75" customHeight="1">
      <c r="DJ473" s="369" t="s">
        <v>1827</v>
      </c>
      <c r="DK473" s="461" t="s">
        <v>1828</v>
      </c>
      <c r="DL473" s="369" t="s">
        <v>1777</v>
      </c>
      <c r="DM473" s="369" t="s">
        <v>1829</v>
      </c>
      <c r="DN473" s="369" t="s">
        <v>1830</v>
      </c>
      <c r="DO473" s="462" t="s">
        <v>1831</v>
      </c>
      <c r="DQ473" s="58" t="s">
        <v>231</v>
      </c>
    </row>
    <row r="474" spans="114:121" ht="15.75" customHeight="1">
      <c r="DJ474" s="369" t="s">
        <v>1832</v>
      </c>
      <c r="DK474" s="461" t="s">
        <v>1833</v>
      </c>
      <c r="DL474" s="369" t="s">
        <v>1777</v>
      </c>
      <c r="DM474" s="369" t="s">
        <v>1829</v>
      </c>
      <c r="DN474" s="369" t="s">
        <v>1830</v>
      </c>
      <c r="DO474" s="462" t="s">
        <v>1831</v>
      </c>
      <c r="DQ474" s="58" t="s">
        <v>231</v>
      </c>
    </row>
    <row r="475" spans="114:121" ht="15.75" customHeight="1">
      <c r="DJ475" s="369" t="s">
        <v>1834</v>
      </c>
      <c r="DK475" s="461" t="s">
        <v>1835</v>
      </c>
      <c r="DL475" s="369" t="s">
        <v>1777</v>
      </c>
      <c r="DM475" s="369" t="s">
        <v>1829</v>
      </c>
      <c r="DN475" s="369" t="s">
        <v>1830</v>
      </c>
      <c r="DO475" s="462" t="s">
        <v>1831</v>
      </c>
      <c r="DQ475" s="58" t="s">
        <v>231</v>
      </c>
    </row>
    <row r="476" spans="114:121" ht="15.75" customHeight="1">
      <c r="DJ476" s="369" t="s">
        <v>1836</v>
      </c>
      <c r="DK476" s="461" t="s">
        <v>1837</v>
      </c>
      <c r="DL476" s="369" t="s">
        <v>1777</v>
      </c>
      <c r="DM476" s="369" t="s">
        <v>1838</v>
      </c>
      <c r="DN476" s="369" t="s">
        <v>1839</v>
      </c>
      <c r="DO476" s="462" t="s">
        <v>1840</v>
      </c>
      <c r="DQ476" s="58" t="s">
        <v>231</v>
      </c>
    </row>
    <row r="477" spans="114:121" ht="15.75" customHeight="1">
      <c r="DJ477" s="369" t="s">
        <v>1841</v>
      </c>
      <c r="DK477" s="461" t="s">
        <v>1842</v>
      </c>
      <c r="DL477" s="369" t="s">
        <v>1777</v>
      </c>
      <c r="DM477" s="369" t="s">
        <v>1838</v>
      </c>
      <c r="DN477" s="369" t="s">
        <v>1839</v>
      </c>
      <c r="DO477" s="462" t="s">
        <v>1840</v>
      </c>
      <c r="DQ477" s="58" t="s">
        <v>231</v>
      </c>
    </row>
    <row r="478" spans="114:121" ht="15.75" customHeight="1">
      <c r="DJ478" s="369" t="s">
        <v>1843</v>
      </c>
      <c r="DK478" s="461" t="s">
        <v>1844</v>
      </c>
      <c r="DL478" s="369" t="s">
        <v>1777</v>
      </c>
      <c r="DM478" s="369" t="s">
        <v>1798</v>
      </c>
      <c r="DN478" s="369" t="s">
        <v>1799</v>
      </c>
      <c r="DO478" s="462" t="s">
        <v>1800</v>
      </c>
      <c r="DQ478" s="58" t="s">
        <v>231</v>
      </c>
    </row>
    <row r="479" spans="114:121" ht="15.75" customHeight="1">
      <c r="DJ479" s="369" t="s">
        <v>1845</v>
      </c>
      <c r="DK479" s="461" t="s">
        <v>1846</v>
      </c>
      <c r="DL479" s="369" t="s">
        <v>1777</v>
      </c>
      <c r="DM479" s="369" t="s">
        <v>1798</v>
      </c>
      <c r="DN479" s="369" t="s">
        <v>1799</v>
      </c>
      <c r="DO479" s="462" t="s">
        <v>1800</v>
      </c>
      <c r="DQ479" s="58" t="s">
        <v>231</v>
      </c>
    </row>
    <row r="480" spans="114:121" ht="15.75" customHeight="1">
      <c r="DJ480" s="369" t="s">
        <v>1847</v>
      </c>
      <c r="DK480" s="461" t="s">
        <v>1848</v>
      </c>
      <c r="DL480" s="369" t="s">
        <v>1849</v>
      </c>
      <c r="DM480" s="369" t="s">
        <v>1849</v>
      </c>
      <c r="DN480" s="369" t="s">
        <v>1850</v>
      </c>
      <c r="DO480" s="462" t="s">
        <v>1851</v>
      </c>
      <c r="DQ480" s="58" t="s">
        <v>231</v>
      </c>
    </row>
    <row r="481" spans="114:121" ht="15.75" customHeight="1">
      <c r="DJ481" s="369" t="s">
        <v>1852</v>
      </c>
      <c r="DK481" s="461" t="s">
        <v>1853</v>
      </c>
      <c r="DL481" s="369" t="s">
        <v>1849</v>
      </c>
      <c r="DM481" s="369" t="s">
        <v>1849</v>
      </c>
      <c r="DN481" s="369" t="s">
        <v>1850</v>
      </c>
      <c r="DO481" s="462" t="s">
        <v>1851</v>
      </c>
      <c r="DQ481" s="58" t="s">
        <v>231</v>
      </c>
    </row>
    <row r="482" spans="114:121" ht="15.75" customHeight="1">
      <c r="DJ482" s="369" t="s">
        <v>1854</v>
      </c>
      <c r="DK482" s="461" t="s">
        <v>1855</v>
      </c>
      <c r="DL482" s="369" t="s">
        <v>1849</v>
      </c>
      <c r="DM482" s="369" t="s">
        <v>1849</v>
      </c>
      <c r="DN482" s="369" t="s">
        <v>1850</v>
      </c>
      <c r="DO482" s="462" t="s">
        <v>1851</v>
      </c>
      <c r="DQ482" s="58" t="s">
        <v>231</v>
      </c>
    </row>
    <row r="483" spans="114:121" ht="15.75" customHeight="1">
      <c r="DJ483" s="369" t="s">
        <v>1856</v>
      </c>
      <c r="DK483" s="461" t="s">
        <v>1857</v>
      </c>
      <c r="DL483" s="369" t="s">
        <v>1849</v>
      </c>
      <c r="DM483" s="369" t="s">
        <v>1849</v>
      </c>
      <c r="DN483" s="369" t="s">
        <v>1850</v>
      </c>
      <c r="DO483" s="462" t="s">
        <v>1851</v>
      </c>
      <c r="DQ483" s="58" t="s">
        <v>231</v>
      </c>
    </row>
    <row r="484" spans="114:121" ht="15.75" customHeight="1">
      <c r="DJ484" s="369" t="s">
        <v>1858</v>
      </c>
      <c r="DK484" s="461" t="s">
        <v>1859</v>
      </c>
      <c r="DL484" s="369" t="s">
        <v>1849</v>
      </c>
      <c r="DM484" s="369" t="s">
        <v>1849</v>
      </c>
      <c r="DN484" s="369" t="s">
        <v>1850</v>
      </c>
      <c r="DO484" s="462" t="s">
        <v>1851</v>
      </c>
      <c r="DQ484" s="58" t="s">
        <v>231</v>
      </c>
    </row>
    <row r="485" spans="114:121" ht="15.75" customHeight="1">
      <c r="DJ485" s="369" t="s">
        <v>1860</v>
      </c>
      <c r="DK485" s="461" t="s">
        <v>1861</v>
      </c>
      <c r="DL485" s="369" t="s">
        <v>1849</v>
      </c>
      <c r="DM485" s="369" t="s">
        <v>1849</v>
      </c>
      <c r="DN485" s="369" t="s">
        <v>1850</v>
      </c>
      <c r="DO485" s="462" t="s">
        <v>1851</v>
      </c>
      <c r="DQ485" s="58" t="s">
        <v>231</v>
      </c>
    </row>
    <row r="486" spans="114:121" ht="15.75" customHeight="1">
      <c r="DJ486" s="369" t="s">
        <v>1862</v>
      </c>
      <c r="DK486" s="461" t="s">
        <v>1863</v>
      </c>
      <c r="DL486" s="369" t="s">
        <v>1849</v>
      </c>
      <c r="DM486" s="369" t="s">
        <v>1849</v>
      </c>
      <c r="DN486" s="369" t="s">
        <v>1850</v>
      </c>
      <c r="DO486" s="462" t="s">
        <v>1851</v>
      </c>
      <c r="DQ486" s="58" t="s">
        <v>231</v>
      </c>
    </row>
    <row r="487" spans="114:121" ht="15.75" customHeight="1">
      <c r="DJ487" s="369" t="s">
        <v>1864</v>
      </c>
      <c r="DK487" s="461" t="s">
        <v>1865</v>
      </c>
      <c r="DL487" s="369" t="s">
        <v>1866</v>
      </c>
      <c r="DM487" s="369" t="s">
        <v>1866</v>
      </c>
      <c r="DN487" s="369" t="s">
        <v>1867</v>
      </c>
      <c r="DO487" s="462" t="s">
        <v>115</v>
      </c>
      <c r="DQ487" s="58" t="s">
        <v>231</v>
      </c>
    </row>
    <row r="488" spans="114:121" ht="15.75" customHeight="1">
      <c r="DJ488" s="369" t="s">
        <v>1868</v>
      </c>
      <c r="DK488" s="463" t="s">
        <v>1869</v>
      </c>
      <c r="DL488" s="369" t="s">
        <v>1866</v>
      </c>
      <c r="DM488" s="369" t="s">
        <v>1866</v>
      </c>
      <c r="DN488" s="369" t="s">
        <v>1867</v>
      </c>
      <c r="DO488" s="462" t="s">
        <v>115</v>
      </c>
      <c r="DQ488" s="58" t="s">
        <v>231</v>
      </c>
    </row>
    <row r="489" spans="114:121" ht="15.75" customHeight="1">
      <c r="DJ489" s="369" t="s">
        <v>1870</v>
      </c>
      <c r="DK489" s="461" t="s">
        <v>1871</v>
      </c>
      <c r="DL489" s="369" t="s">
        <v>1866</v>
      </c>
      <c r="DM489" s="369" t="s">
        <v>1866</v>
      </c>
      <c r="DN489" s="369" t="s">
        <v>1867</v>
      </c>
      <c r="DO489" s="462" t="s">
        <v>115</v>
      </c>
      <c r="DQ489" s="58" t="s">
        <v>231</v>
      </c>
    </row>
    <row r="490" spans="114:121" ht="15.75" customHeight="1">
      <c r="DJ490" s="369" t="s">
        <v>1872</v>
      </c>
      <c r="DK490" s="461" t="s">
        <v>1873</v>
      </c>
      <c r="DL490" s="369" t="s">
        <v>1866</v>
      </c>
      <c r="DM490" s="369" t="s">
        <v>1866</v>
      </c>
      <c r="DN490" s="369" t="s">
        <v>1867</v>
      </c>
      <c r="DO490" s="462" t="s">
        <v>115</v>
      </c>
      <c r="DQ490" s="58" t="s">
        <v>231</v>
      </c>
    </row>
    <row r="491" spans="114:121" ht="15.75" customHeight="1">
      <c r="DJ491" s="369" t="s">
        <v>1874</v>
      </c>
      <c r="DK491" s="461" t="s">
        <v>1875</v>
      </c>
      <c r="DL491" s="369" t="s">
        <v>1876</v>
      </c>
      <c r="DM491" s="369" t="s">
        <v>1877</v>
      </c>
      <c r="DN491" s="369" t="s">
        <v>1878</v>
      </c>
      <c r="DO491" s="462" t="s">
        <v>1879</v>
      </c>
      <c r="DQ491" s="58" t="s">
        <v>231</v>
      </c>
    </row>
    <row r="492" spans="114:121" ht="15.75" customHeight="1">
      <c r="DJ492" s="369" t="s">
        <v>1880</v>
      </c>
      <c r="DK492" s="461" t="s">
        <v>1881</v>
      </c>
      <c r="DL492" s="369" t="s">
        <v>1876</v>
      </c>
      <c r="DM492" s="369" t="s">
        <v>1877</v>
      </c>
      <c r="DN492" s="369" t="s">
        <v>1878</v>
      </c>
      <c r="DO492" s="462" t="s">
        <v>1879</v>
      </c>
      <c r="DQ492" s="58" t="s">
        <v>231</v>
      </c>
    </row>
    <row r="493" spans="114:121" ht="15.75" customHeight="1">
      <c r="DJ493" s="369" t="s">
        <v>1882</v>
      </c>
      <c r="DK493" s="461" t="s">
        <v>1883</v>
      </c>
      <c r="DL493" s="369" t="s">
        <v>1876</v>
      </c>
      <c r="DM493" s="369" t="s">
        <v>1877</v>
      </c>
      <c r="DN493" s="369" t="s">
        <v>1878</v>
      </c>
      <c r="DO493" s="462" t="s">
        <v>1879</v>
      </c>
      <c r="DQ493" s="58" t="s">
        <v>231</v>
      </c>
    </row>
    <row r="494" spans="114:121" ht="15.75" customHeight="1">
      <c r="DJ494" s="369" t="s">
        <v>1884</v>
      </c>
      <c r="DK494" s="461" t="s">
        <v>1885</v>
      </c>
      <c r="DL494" s="369" t="s">
        <v>1876</v>
      </c>
      <c r="DM494" s="369" t="s">
        <v>1886</v>
      </c>
      <c r="DN494" s="369" t="s">
        <v>1887</v>
      </c>
      <c r="DO494" s="462" t="s">
        <v>1888</v>
      </c>
      <c r="DQ494" s="58" t="s">
        <v>231</v>
      </c>
    </row>
    <row r="495" spans="114:121" ht="15.75" customHeight="1">
      <c r="DJ495" s="369" t="s">
        <v>1889</v>
      </c>
      <c r="DK495" s="461" t="s">
        <v>1890</v>
      </c>
      <c r="DL495" s="369" t="s">
        <v>1876</v>
      </c>
      <c r="DM495" s="369" t="s">
        <v>1886</v>
      </c>
      <c r="DN495" s="369" t="s">
        <v>1887</v>
      </c>
      <c r="DO495" s="462" t="s">
        <v>1888</v>
      </c>
      <c r="DQ495" s="58" t="s">
        <v>231</v>
      </c>
    </row>
    <row r="496" spans="114:121" ht="15.75" customHeight="1">
      <c r="DJ496" s="369" t="s">
        <v>1891</v>
      </c>
      <c r="DK496" s="461" t="s">
        <v>1892</v>
      </c>
      <c r="DL496" s="369" t="s">
        <v>1876</v>
      </c>
      <c r="DM496" s="369" t="s">
        <v>1886</v>
      </c>
      <c r="DN496" s="369" t="s">
        <v>1887</v>
      </c>
      <c r="DO496" s="462" t="s">
        <v>1888</v>
      </c>
      <c r="DQ496" s="58" t="s">
        <v>231</v>
      </c>
    </row>
    <row r="497" spans="114:121" ht="15.75" customHeight="1">
      <c r="DJ497" s="369" t="s">
        <v>1893</v>
      </c>
      <c r="DK497" s="461" t="s">
        <v>1894</v>
      </c>
      <c r="DL497" s="369" t="s">
        <v>1876</v>
      </c>
      <c r="DM497" s="369" t="s">
        <v>1876</v>
      </c>
      <c r="DN497" s="369" t="s">
        <v>1895</v>
      </c>
      <c r="DO497" s="462" t="s">
        <v>1896</v>
      </c>
      <c r="DQ497" s="58" t="s">
        <v>231</v>
      </c>
    </row>
    <row r="498" spans="114:121" ht="15.75" customHeight="1">
      <c r="DJ498" s="369" t="s">
        <v>1897</v>
      </c>
      <c r="DK498" s="463" t="s">
        <v>1898</v>
      </c>
      <c r="DL498" s="369" t="s">
        <v>1899</v>
      </c>
      <c r="DM498" s="369" t="s">
        <v>1900</v>
      </c>
      <c r="DN498" s="369" t="s">
        <v>1901</v>
      </c>
      <c r="DO498" s="462" t="s">
        <v>1902</v>
      </c>
      <c r="DQ498" s="58" t="s">
        <v>231</v>
      </c>
    </row>
    <row r="499" spans="114:121" ht="15.75" customHeight="1">
      <c r="DJ499" s="369" t="s">
        <v>1903</v>
      </c>
      <c r="DK499" s="461" t="s">
        <v>1904</v>
      </c>
      <c r="DL499" s="369" t="s">
        <v>1899</v>
      </c>
      <c r="DM499" s="369" t="s">
        <v>1905</v>
      </c>
      <c r="DN499" s="369" t="s">
        <v>1906</v>
      </c>
      <c r="DO499" s="462" t="s">
        <v>1907</v>
      </c>
      <c r="DQ499" s="58" t="s">
        <v>231</v>
      </c>
    </row>
    <row r="500" spans="114:121" ht="15.75" customHeight="1">
      <c r="DJ500" s="369" t="s">
        <v>1908</v>
      </c>
      <c r="DK500" s="463" t="s">
        <v>1909</v>
      </c>
      <c r="DL500" s="369" t="s">
        <v>1899</v>
      </c>
      <c r="DM500" s="369" t="s">
        <v>1910</v>
      </c>
      <c r="DN500" s="369" t="s">
        <v>1911</v>
      </c>
      <c r="DO500" s="462" t="s">
        <v>1912</v>
      </c>
      <c r="DQ500" s="58" t="s">
        <v>231</v>
      </c>
    </row>
    <row r="501" spans="114:121" ht="15.75" customHeight="1">
      <c r="DJ501" s="369" t="s">
        <v>1913</v>
      </c>
      <c r="DK501" s="463" t="s">
        <v>1914</v>
      </c>
      <c r="DL501" s="369" t="s">
        <v>1899</v>
      </c>
      <c r="DM501" s="369" t="s">
        <v>1910</v>
      </c>
      <c r="DN501" s="369" t="s">
        <v>1911</v>
      </c>
      <c r="DO501" s="462" t="s">
        <v>1912</v>
      </c>
      <c r="DQ501" s="58" t="s">
        <v>231</v>
      </c>
    </row>
    <row r="502" spans="114:121" ht="15.75" customHeight="1">
      <c r="DJ502" s="369" t="s">
        <v>1915</v>
      </c>
      <c r="DK502" s="463" t="s">
        <v>1916</v>
      </c>
      <c r="DL502" s="369" t="s">
        <v>1328</v>
      </c>
      <c r="DM502" s="369" t="s">
        <v>1917</v>
      </c>
      <c r="DN502" s="369" t="s">
        <v>1916</v>
      </c>
      <c r="DO502" s="462" t="s">
        <v>1918</v>
      </c>
      <c r="DQ502" s="58" t="s">
        <v>231</v>
      </c>
    </row>
    <row r="503" spans="114:121" ht="15.75" customHeight="1">
      <c r="DJ503" s="369" t="s">
        <v>1919</v>
      </c>
      <c r="DK503" s="461" t="s">
        <v>1920</v>
      </c>
      <c r="DL503" s="369" t="s">
        <v>1328</v>
      </c>
      <c r="DM503" s="369" t="s">
        <v>1921</v>
      </c>
      <c r="DN503" s="369" t="s">
        <v>1920</v>
      </c>
      <c r="DO503" s="462" t="s">
        <v>1922</v>
      </c>
      <c r="DQ503" s="58" t="s">
        <v>231</v>
      </c>
    </row>
    <row r="504" spans="114:121" ht="15.75" customHeight="1">
      <c r="DJ504" s="369" t="s">
        <v>1923</v>
      </c>
      <c r="DK504" s="461" t="s">
        <v>1924</v>
      </c>
      <c r="DL504" s="369" t="s">
        <v>1328</v>
      </c>
      <c r="DM504" s="369" t="s">
        <v>1925</v>
      </c>
      <c r="DN504" s="369" t="s">
        <v>1926</v>
      </c>
      <c r="DO504" s="462" t="s">
        <v>1927</v>
      </c>
      <c r="DQ504" s="58" t="s">
        <v>231</v>
      </c>
    </row>
    <row r="505" spans="114:121" ht="15.75" customHeight="1">
      <c r="DJ505" s="369" t="s">
        <v>1928</v>
      </c>
      <c r="DK505" s="461" t="s">
        <v>1929</v>
      </c>
      <c r="DL505" s="369" t="s">
        <v>1328</v>
      </c>
      <c r="DM505" s="369" t="s">
        <v>1930</v>
      </c>
      <c r="DN505" s="369" t="s">
        <v>1931</v>
      </c>
      <c r="DO505" s="462" t="s">
        <v>1932</v>
      </c>
      <c r="DQ505" s="58" t="s">
        <v>231</v>
      </c>
    </row>
    <row r="506" spans="114:121" ht="15.75" customHeight="1">
      <c r="DJ506" s="369" t="s">
        <v>1933</v>
      </c>
      <c r="DK506" s="461" t="s">
        <v>1934</v>
      </c>
      <c r="DL506" s="369" t="s">
        <v>1328</v>
      </c>
      <c r="DM506" s="369" t="s">
        <v>1930</v>
      </c>
      <c r="DN506" s="369" t="s">
        <v>1931</v>
      </c>
      <c r="DO506" s="462" t="s">
        <v>1932</v>
      </c>
      <c r="DQ506" s="58" t="s">
        <v>231</v>
      </c>
    </row>
    <row r="507" spans="114:121" ht="15.75" customHeight="1">
      <c r="DJ507" s="369" t="s">
        <v>1935</v>
      </c>
      <c r="DK507" s="463" t="s">
        <v>1936</v>
      </c>
      <c r="DL507" s="369" t="s">
        <v>1328</v>
      </c>
      <c r="DM507" s="369" t="s">
        <v>1937</v>
      </c>
      <c r="DN507" s="369" t="s">
        <v>1938</v>
      </c>
      <c r="DO507" s="462" t="s">
        <v>1939</v>
      </c>
      <c r="DQ507" s="58" t="s">
        <v>231</v>
      </c>
    </row>
    <row r="508" spans="114:121" ht="15.75" customHeight="1">
      <c r="DJ508" s="369" t="s">
        <v>1940</v>
      </c>
      <c r="DK508" s="463" t="s">
        <v>1941</v>
      </c>
      <c r="DL508" s="369" t="s">
        <v>1328</v>
      </c>
      <c r="DM508" s="369" t="s">
        <v>1937</v>
      </c>
      <c r="DN508" s="369" t="s">
        <v>1938</v>
      </c>
      <c r="DO508" s="462" t="s">
        <v>1939</v>
      </c>
      <c r="DQ508" s="58" t="s">
        <v>231</v>
      </c>
    </row>
    <row r="509" spans="114:121" ht="15.75" customHeight="1">
      <c r="DJ509" s="369" t="s">
        <v>1942</v>
      </c>
      <c r="DK509" s="463" t="s">
        <v>1943</v>
      </c>
      <c r="DL509" s="369" t="s">
        <v>1328</v>
      </c>
      <c r="DM509" s="369" t="s">
        <v>1937</v>
      </c>
      <c r="DN509" s="369" t="s">
        <v>1938</v>
      </c>
      <c r="DO509" s="462" t="s">
        <v>1939</v>
      </c>
      <c r="DQ509" s="58" t="s">
        <v>231</v>
      </c>
    </row>
    <row r="510" spans="114:121" ht="15.75" customHeight="1">
      <c r="DJ510" s="369" t="s">
        <v>1944</v>
      </c>
      <c r="DK510" s="461" t="s">
        <v>1945</v>
      </c>
      <c r="DL510" s="369" t="s">
        <v>1328</v>
      </c>
      <c r="DM510" s="369" t="s">
        <v>1946</v>
      </c>
      <c r="DN510" s="369" t="s">
        <v>1947</v>
      </c>
      <c r="DO510" s="462" t="s">
        <v>1948</v>
      </c>
      <c r="DQ510" s="58" t="s">
        <v>231</v>
      </c>
    </row>
    <row r="511" spans="114:121" ht="15.75" customHeight="1">
      <c r="DJ511" s="369" t="s">
        <v>1949</v>
      </c>
      <c r="DK511" s="463" t="s">
        <v>1950</v>
      </c>
      <c r="DL511" s="369" t="s">
        <v>1328</v>
      </c>
      <c r="DM511" s="369" t="s">
        <v>1946</v>
      </c>
      <c r="DN511" s="369" t="s">
        <v>1947</v>
      </c>
      <c r="DO511" s="462" t="s">
        <v>1948</v>
      </c>
      <c r="DQ511" s="58" t="s">
        <v>231</v>
      </c>
    </row>
    <row r="512" spans="114:121" ht="15.75" customHeight="1">
      <c r="DJ512" s="369" t="s">
        <v>1951</v>
      </c>
      <c r="DK512" s="461" t="s">
        <v>1952</v>
      </c>
      <c r="DL512" s="369" t="s">
        <v>1328</v>
      </c>
      <c r="DM512" s="369" t="s">
        <v>1946</v>
      </c>
      <c r="DN512" s="369" t="s">
        <v>1947</v>
      </c>
      <c r="DO512" s="462" t="s">
        <v>1948</v>
      </c>
      <c r="DQ512" s="58" t="s">
        <v>231</v>
      </c>
    </row>
    <row r="513" spans="114:121" ht="15.75" customHeight="1">
      <c r="DJ513" s="369" t="s">
        <v>1953</v>
      </c>
      <c r="DK513" s="461" t="s">
        <v>1954</v>
      </c>
      <c r="DL513" s="369" t="s">
        <v>1328</v>
      </c>
      <c r="DM513" s="369" t="s">
        <v>1955</v>
      </c>
      <c r="DN513" s="369" t="s">
        <v>1956</v>
      </c>
      <c r="DO513" s="462" t="s">
        <v>1957</v>
      </c>
      <c r="DQ513" s="58" t="s">
        <v>231</v>
      </c>
    </row>
    <row r="514" spans="114:121" ht="15.75" customHeight="1">
      <c r="DJ514" s="369" t="s">
        <v>1958</v>
      </c>
      <c r="DK514" s="463" t="s">
        <v>1959</v>
      </c>
      <c r="DL514" s="369" t="s">
        <v>1328</v>
      </c>
      <c r="DM514" s="369" t="s">
        <v>1955</v>
      </c>
      <c r="DN514" s="369" t="s">
        <v>1956</v>
      </c>
      <c r="DO514" s="462" t="s">
        <v>1957</v>
      </c>
      <c r="DQ514" s="58" t="s">
        <v>231</v>
      </c>
    </row>
    <row r="515" spans="114:121" ht="15.75" customHeight="1">
      <c r="DJ515" s="369" t="s">
        <v>1960</v>
      </c>
      <c r="DK515" s="463" t="s">
        <v>1961</v>
      </c>
      <c r="DL515" s="369" t="s">
        <v>1328</v>
      </c>
      <c r="DM515" s="369" t="s">
        <v>1930</v>
      </c>
      <c r="DN515" s="369" t="s">
        <v>1931</v>
      </c>
      <c r="DO515" s="462" t="s">
        <v>1932</v>
      </c>
      <c r="DQ515" s="58" t="s">
        <v>231</v>
      </c>
    </row>
    <row r="516" spans="114:121" ht="15.75" customHeight="1">
      <c r="DJ516" s="369" t="s">
        <v>1962</v>
      </c>
      <c r="DK516" s="461" t="s">
        <v>1963</v>
      </c>
      <c r="DL516" s="369" t="s">
        <v>1328</v>
      </c>
      <c r="DM516" s="369" t="s">
        <v>1964</v>
      </c>
      <c r="DN516" s="369" t="s">
        <v>1965</v>
      </c>
      <c r="DO516" s="462" t="s">
        <v>1966</v>
      </c>
      <c r="DQ516" s="58" t="s">
        <v>231</v>
      </c>
    </row>
    <row r="517" spans="114:121" ht="15.75" customHeight="1">
      <c r="DJ517" s="369" t="s">
        <v>1967</v>
      </c>
      <c r="DK517" s="461" t="s">
        <v>1968</v>
      </c>
      <c r="DL517" s="369" t="s">
        <v>1328</v>
      </c>
      <c r="DM517" s="369" t="s">
        <v>1969</v>
      </c>
      <c r="DN517" s="369" t="s">
        <v>1968</v>
      </c>
      <c r="DO517" s="462" t="s">
        <v>1970</v>
      </c>
      <c r="DQ517" s="58" t="s">
        <v>231</v>
      </c>
    </row>
    <row r="518" spans="114:121" ht="15.75" customHeight="1">
      <c r="DJ518" s="369" t="s">
        <v>1971</v>
      </c>
      <c r="DK518" s="461" t="s">
        <v>1972</v>
      </c>
      <c r="DL518" s="369" t="s">
        <v>1328</v>
      </c>
      <c r="DM518" s="369" t="s">
        <v>1964</v>
      </c>
      <c r="DN518" s="369" t="s">
        <v>1965</v>
      </c>
      <c r="DO518" s="462" t="s">
        <v>1966</v>
      </c>
      <c r="DQ518" s="58" t="s">
        <v>231</v>
      </c>
    </row>
    <row r="519" spans="114:121" ht="15.75" customHeight="1">
      <c r="DJ519" s="369" t="s">
        <v>1973</v>
      </c>
      <c r="DK519" s="463" t="s">
        <v>1974</v>
      </c>
      <c r="DL519" s="369" t="s">
        <v>1328</v>
      </c>
      <c r="DM519" s="369" t="s">
        <v>1964</v>
      </c>
      <c r="DN519" s="369" t="s">
        <v>1965</v>
      </c>
      <c r="DO519" s="462" t="s">
        <v>1966</v>
      </c>
      <c r="DQ519" s="58" t="s">
        <v>231</v>
      </c>
    </row>
    <row r="520" spans="114:121" ht="15.75" customHeight="1">
      <c r="DJ520" s="369" t="s">
        <v>1975</v>
      </c>
      <c r="DK520" s="461" t="s">
        <v>1976</v>
      </c>
      <c r="DL520" s="369" t="s">
        <v>1977</v>
      </c>
      <c r="DM520" s="369" t="s">
        <v>1978</v>
      </c>
      <c r="DN520" s="369" t="s">
        <v>1979</v>
      </c>
      <c r="DO520" s="462" t="s">
        <v>1980</v>
      </c>
      <c r="DQ520" s="58" t="s">
        <v>231</v>
      </c>
    </row>
    <row r="521" spans="114:121" ht="15.75" customHeight="1">
      <c r="DJ521" s="369" t="s">
        <v>1981</v>
      </c>
      <c r="DK521" s="463" t="s">
        <v>1982</v>
      </c>
      <c r="DL521" s="369" t="s">
        <v>1328</v>
      </c>
      <c r="DM521" s="369" t="s">
        <v>1983</v>
      </c>
      <c r="DN521" s="369" t="s">
        <v>1984</v>
      </c>
      <c r="DO521" s="462" t="s">
        <v>1985</v>
      </c>
      <c r="DQ521" s="58" t="s">
        <v>231</v>
      </c>
    </row>
    <row r="522" spans="114:121" ht="15.75" customHeight="1">
      <c r="DJ522" s="369" t="s">
        <v>1986</v>
      </c>
      <c r="DK522" s="463" t="s">
        <v>1987</v>
      </c>
      <c r="DL522" s="369" t="s">
        <v>1328</v>
      </c>
      <c r="DM522" s="369" t="s">
        <v>1983</v>
      </c>
      <c r="DN522" s="369" t="s">
        <v>1984</v>
      </c>
      <c r="DO522" s="462" t="s">
        <v>1985</v>
      </c>
      <c r="DQ522" s="58" t="s">
        <v>231</v>
      </c>
    </row>
    <row r="523" spans="114:121" ht="15.75" customHeight="1">
      <c r="DJ523" s="369" t="s">
        <v>1988</v>
      </c>
      <c r="DK523" s="461" t="s">
        <v>2225</v>
      </c>
      <c r="DL523" s="369" t="s">
        <v>1328</v>
      </c>
      <c r="DM523" s="369" t="s">
        <v>1983</v>
      </c>
      <c r="DN523" s="369" t="s">
        <v>1984</v>
      </c>
      <c r="DO523" s="462" t="s">
        <v>1985</v>
      </c>
      <c r="DQ523" s="58" t="s">
        <v>231</v>
      </c>
    </row>
    <row r="524" spans="114:121" ht="15.75" customHeight="1">
      <c r="DJ524" s="369" t="s">
        <v>1989</v>
      </c>
      <c r="DK524" s="463" t="s">
        <v>1990</v>
      </c>
      <c r="DL524" s="369" t="s">
        <v>1328</v>
      </c>
      <c r="DM524" s="369" t="s">
        <v>1983</v>
      </c>
      <c r="DN524" s="369" t="s">
        <v>1984</v>
      </c>
      <c r="DO524" s="462" t="s">
        <v>1985</v>
      </c>
      <c r="DQ524" s="58" t="s">
        <v>231</v>
      </c>
    </row>
    <row r="525" spans="114:121" ht="15.75" customHeight="1">
      <c r="DJ525" s="369" t="s">
        <v>1991</v>
      </c>
      <c r="DK525" s="463" t="s">
        <v>1992</v>
      </c>
      <c r="DL525" s="369" t="s">
        <v>1328</v>
      </c>
      <c r="DM525" s="369" t="s">
        <v>1983</v>
      </c>
      <c r="DN525" s="369" t="s">
        <v>1984</v>
      </c>
      <c r="DO525" s="462" t="s">
        <v>1985</v>
      </c>
      <c r="DQ525" s="58" t="s">
        <v>231</v>
      </c>
    </row>
    <row r="526" spans="114:121" ht="15.75" customHeight="1">
      <c r="DJ526" s="369" t="s">
        <v>1993</v>
      </c>
      <c r="DK526" s="463" t="s">
        <v>1994</v>
      </c>
      <c r="DL526" s="369" t="s">
        <v>1328</v>
      </c>
      <c r="DM526" s="369" t="s">
        <v>1983</v>
      </c>
      <c r="DN526" s="369" t="s">
        <v>1984</v>
      </c>
      <c r="DO526" s="462" t="s">
        <v>1985</v>
      </c>
      <c r="DQ526" s="58" t="s">
        <v>231</v>
      </c>
    </row>
    <row r="527" spans="114:121" ht="15.75" customHeight="1">
      <c r="DJ527" s="369" t="s">
        <v>1995</v>
      </c>
      <c r="DK527" s="463" t="s">
        <v>1996</v>
      </c>
      <c r="DL527" s="369" t="s">
        <v>1328</v>
      </c>
      <c r="DM527" s="369" t="s">
        <v>1983</v>
      </c>
      <c r="DN527" s="369" t="s">
        <v>1984</v>
      </c>
      <c r="DO527" s="462" t="s">
        <v>1985</v>
      </c>
      <c r="DQ527" s="58" t="s">
        <v>231</v>
      </c>
    </row>
    <row r="528" spans="114:121" ht="15.75" customHeight="1">
      <c r="DJ528" s="369" t="s">
        <v>1997</v>
      </c>
      <c r="DK528" s="461" t="s">
        <v>2226</v>
      </c>
      <c r="DL528" s="369" t="s">
        <v>1328</v>
      </c>
      <c r="DM528" s="369" t="s">
        <v>1983</v>
      </c>
      <c r="DN528" s="369" t="s">
        <v>1984</v>
      </c>
      <c r="DO528" s="462" t="s">
        <v>1985</v>
      </c>
      <c r="DQ528" s="58" t="s">
        <v>231</v>
      </c>
    </row>
    <row r="529" spans="114:121" ht="15.75" customHeight="1">
      <c r="DJ529" s="369" t="s">
        <v>1998</v>
      </c>
      <c r="DK529" s="463" t="s">
        <v>1999</v>
      </c>
      <c r="DL529" s="369" t="s">
        <v>1328</v>
      </c>
      <c r="DM529" s="369" t="s">
        <v>1983</v>
      </c>
      <c r="DN529" s="369" t="s">
        <v>1984</v>
      </c>
      <c r="DO529" s="462" t="s">
        <v>1985</v>
      </c>
      <c r="DQ529" s="58" t="s">
        <v>231</v>
      </c>
    </row>
    <row r="530" spans="114:121" ht="15.75" customHeight="1">
      <c r="DJ530" s="369" t="s">
        <v>2000</v>
      </c>
      <c r="DK530" s="463" t="s">
        <v>2001</v>
      </c>
      <c r="DL530" s="369" t="s">
        <v>1328</v>
      </c>
      <c r="DM530" s="369" t="s">
        <v>1983</v>
      </c>
      <c r="DN530" s="369" t="s">
        <v>1984</v>
      </c>
      <c r="DO530" s="462" t="s">
        <v>1985</v>
      </c>
      <c r="DQ530" s="58" t="s">
        <v>231</v>
      </c>
    </row>
    <row r="531" spans="114:121" ht="15.75" customHeight="1">
      <c r="DJ531" s="369" t="s">
        <v>2002</v>
      </c>
      <c r="DK531" s="461" t="s">
        <v>2227</v>
      </c>
      <c r="DL531" s="369" t="s">
        <v>1328</v>
      </c>
      <c r="DM531" s="369" t="s">
        <v>1983</v>
      </c>
      <c r="DN531" s="369" t="s">
        <v>1984</v>
      </c>
      <c r="DO531" s="462" t="s">
        <v>1985</v>
      </c>
      <c r="DQ531" s="58" t="s">
        <v>231</v>
      </c>
    </row>
    <row r="532" spans="114:121" ht="15.75" customHeight="1">
      <c r="DJ532" s="369" t="s">
        <v>2003</v>
      </c>
      <c r="DK532" s="463" t="s">
        <v>2004</v>
      </c>
      <c r="DL532" s="369" t="s">
        <v>1328</v>
      </c>
      <c r="DM532" s="369" t="s">
        <v>1983</v>
      </c>
      <c r="DN532" s="369" t="s">
        <v>1984</v>
      </c>
      <c r="DO532" s="462" t="s">
        <v>1985</v>
      </c>
      <c r="DQ532" s="58" t="s">
        <v>231</v>
      </c>
    </row>
    <row r="533" spans="114:121" ht="15.75" customHeight="1">
      <c r="DJ533" s="369" t="s">
        <v>2005</v>
      </c>
      <c r="DK533" s="463" t="s">
        <v>2006</v>
      </c>
      <c r="DL533" s="369" t="s">
        <v>1328</v>
      </c>
      <c r="DM533" s="369" t="s">
        <v>2007</v>
      </c>
      <c r="DN533" s="369" t="s">
        <v>2008</v>
      </c>
      <c r="DO533" s="462" t="s">
        <v>2009</v>
      </c>
      <c r="DQ533" s="58" t="s">
        <v>231</v>
      </c>
    </row>
    <row r="534" spans="114:121" ht="15.75" customHeight="1">
      <c r="DJ534" s="369" t="s">
        <v>2010</v>
      </c>
      <c r="DK534" s="461" t="s">
        <v>2011</v>
      </c>
      <c r="DL534" s="369" t="s">
        <v>1328</v>
      </c>
      <c r="DM534" s="369" t="s">
        <v>2007</v>
      </c>
      <c r="DN534" s="369" t="s">
        <v>2008</v>
      </c>
      <c r="DO534" s="462" t="s">
        <v>2009</v>
      </c>
      <c r="DQ534" s="58" t="s">
        <v>231</v>
      </c>
    </row>
    <row r="535" spans="114:121" ht="15.75" customHeight="1">
      <c r="DJ535" s="369" t="s">
        <v>2012</v>
      </c>
      <c r="DK535" s="461" t="s">
        <v>2013</v>
      </c>
      <c r="DL535" s="369" t="s">
        <v>1328</v>
      </c>
      <c r="DM535" s="369" t="s">
        <v>2007</v>
      </c>
      <c r="DN535" s="369" t="s">
        <v>2008</v>
      </c>
      <c r="DO535" s="462" t="s">
        <v>2009</v>
      </c>
      <c r="DQ535" s="58" t="s">
        <v>231</v>
      </c>
    </row>
    <row r="536" spans="114:121" ht="15.75" customHeight="1">
      <c r="DJ536" s="369" t="s">
        <v>2014</v>
      </c>
      <c r="DK536" s="461" t="s">
        <v>2015</v>
      </c>
      <c r="DL536" s="369" t="s">
        <v>1681</v>
      </c>
      <c r="DM536" s="369" t="s">
        <v>1727</v>
      </c>
      <c r="DN536" s="369" t="s">
        <v>1728</v>
      </c>
      <c r="DO536" s="462" t="s">
        <v>1729</v>
      </c>
      <c r="DQ536" s="58" t="s">
        <v>231</v>
      </c>
    </row>
    <row r="537" spans="114:121" ht="15.75" customHeight="1">
      <c r="DJ537" s="369" t="s">
        <v>2016</v>
      </c>
      <c r="DK537" s="461" t="s">
        <v>2017</v>
      </c>
      <c r="DL537" s="369" t="s">
        <v>1681</v>
      </c>
      <c r="DM537" s="369" t="s">
        <v>1727</v>
      </c>
      <c r="DN537" s="369" t="s">
        <v>1728</v>
      </c>
      <c r="DO537" s="462" t="s">
        <v>1729</v>
      </c>
      <c r="DQ537" s="58" t="s">
        <v>231</v>
      </c>
    </row>
    <row r="538" spans="114:121" ht="15.75" customHeight="1">
      <c r="DJ538" s="369" t="s">
        <v>2018</v>
      </c>
      <c r="DK538" s="461" t="s">
        <v>2019</v>
      </c>
      <c r="DL538" s="369" t="s">
        <v>1681</v>
      </c>
      <c r="DM538" s="369" t="s">
        <v>1727</v>
      </c>
      <c r="DN538" s="369" t="s">
        <v>1728</v>
      </c>
      <c r="DO538" s="462" t="s">
        <v>1729</v>
      </c>
      <c r="DQ538" s="58" t="s">
        <v>231</v>
      </c>
    </row>
    <row r="539" spans="114:121" ht="15.75" customHeight="1">
      <c r="DJ539" s="369" t="s">
        <v>2020</v>
      </c>
      <c r="DK539" s="461" t="s">
        <v>2021</v>
      </c>
      <c r="DL539" s="369" t="s">
        <v>1328</v>
      </c>
      <c r="DM539" s="369" t="s">
        <v>1964</v>
      </c>
      <c r="DN539" s="369" t="s">
        <v>1965</v>
      </c>
      <c r="DO539" s="462" t="s">
        <v>1966</v>
      </c>
      <c r="DQ539" s="58" t="s">
        <v>231</v>
      </c>
    </row>
    <row r="540" spans="114:121" ht="15.75" customHeight="1">
      <c r="DJ540" s="369" t="s">
        <v>2022</v>
      </c>
      <c r="DK540" s="461" t="s">
        <v>2023</v>
      </c>
      <c r="DL540" s="369" t="s">
        <v>1328</v>
      </c>
      <c r="DM540" s="369" t="s">
        <v>1964</v>
      </c>
      <c r="DN540" s="369" t="s">
        <v>1965</v>
      </c>
      <c r="DO540" s="462" t="s">
        <v>1966</v>
      </c>
      <c r="DQ540" s="58" t="s">
        <v>231</v>
      </c>
    </row>
    <row r="541" spans="114:121" ht="15.75" customHeight="1">
      <c r="DJ541" s="369" t="s">
        <v>2024</v>
      </c>
      <c r="DK541" s="461" t="s">
        <v>2025</v>
      </c>
      <c r="DL541" s="369" t="s">
        <v>1328</v>
      </c>
      <c r="DM541" s="369" t="s">
        <v>1964</v>
      </c>
      <c r="DN541" s="369" t="s">
        <v>1965</v>
      </c>
      <c r="DO541" s="462" t="s">
        <v>1966</v>
      </c>
      <c r="DQ541" s="58" t="s">
        <v>231</v>
      </c>
    </row>
    <row r="542" spans="114:121" ht="15.75" customHeight="1">
      <c r="DJ542" s="369" t="s">
        <v>2026</v>
      </c>
      <c r="DK542" s="463" t="s">
        <v>2027</v>
      </c>
      <c r="DL542" s="369" t="s">
        <v>1899</v>
      </c>
      <c r="DM542" s="369" t="s">
        <v>1910</v>
      </c>
      <c r="DN542" s="369" t="s">
        <v>1911</v>
      </c>
      <c r="DO542" s="462" t="s">
        <v>1912</v>
      </c>
      <c r="DQ542" s="58" t="s">
        <v>231</v>
      </c>
    </row>
    <row r="543" spans="114:121" ht="15.75" customHeight="1">
      <c r="DJ543" s="369" t="s">
        <v>2028</v>
      </c>
      <c r="DK543" s="463" t="s">
        <v>2029</v>
      </c>
      <c r="DL543" s="369" t="s">
        <v>1328</v>
      </c>
      <c r="DM543" s="369" t="s">
        <v>2030</v>
      </c>
      <c r="DN543" s="369" t="s">
        <v>2031</v>
      </c>
      <c r="DO543" s="462" t="s">
        <v>2032</v>
      </c>
      <c r="DQ543" s="58" t="s">
        <v>231</v>
      </c>
    </row>
    <row r="544" spans="114:121" ht="15.75" customHeight="1">
      <c r="DJ544" s="369" t="s">
        <v>2033</v>
      </c>
      <c r="DK544" s="461" t="s">
        <v>2034</v>
      </c>
      <c r="DL544" s="369" t="s">
        <v>1328</v>
      </c>
      <c r="DM544" s="369" t="s">
        <v>2035</v>
      </c>
      <c r="DN544" s="369" t="s">
        <v>2036</v>
      </c>
      <c r="DO544" s="462" t="s">
        <v>2033</v>
      </c>
      <c r="DQ544" s="58" t="s">
        <v>231</v>
      </c>
    </row>
    <row r="545" spans="114:121" ht="15.75" customHeight="1">
      <c r="DJ545" s="369" t="s">
        <v>2037</v>
      </c>
      <c r="DK545" s="461" t="s">
        <v>2038</v>
      </c>
      <c r="DL545" s="369" t="s">
        <v>1328</v>
      </c>
      <c r="DM545" s="369" t="s">
        <v>2030</v>
      </c>
      <c r="DN545" s="369" t="s">
        <v>2031</v>
      </c>
      <c r="DO545" s="462" t="s">
        <v>2032</v>
      </c>
      <c r="DQ545" s="58" t="s">
        <v>231</v>
      </c>
    </row>
    <row r="546" spans="114:121" ht="15.75" customHeight="1">
      <c r="DJ546" s="369" t="s">
        <v>2039</v>
      </c>
      <c r="DK546" s="461" t="s">
        <v>2040</v>
      </c>
      <c r="DL546" s="369" t="s">
        <v>1328</v>
      </c>
      <c r="DM546" s="369" t="s">
        <v>2030</v>
      </c>
      <c r="DN546" s="369" t="s">
        <v>2031</v>
      </c>
      <c r="DO546" s="462" t="s">
        <v>2032</v>
      </c>
      <c r="DQ546" s="58" t="s">
        <v>231</v>
      </c>
    </row>
    <row r="547" spans="114:121" ht="15.75" customHeight="1">
      <c r="DJ547" s="369" t="s">
        <v>2041</v>
      </c>
      <c r="DK547" s="463" t="s">
        <v>2042</v>
      </c>
      <c r="DL547" s="369" t="s">
        <v>1328</v>
      </c>
      <c r="DM547" s="369" t="s">
        <v>1964</v>
      </c>
      <c r="DN547" s="369" t="s">
        <v>1965</v>
      </c>
      <c r="DO547" s="462" t="s">
        <v>1966</v>
      </c>
      <c r="DQ547" s="58" t="s">
        <v>231</v>
      </c>
    </row>
    <row r="548" spans="114:121" ht="15.75" customHeight="1">
      <c r="DJ548" s="369" t="s">
        <v>2043</v>
      </c>
      <c r="DK548" s="461" t="s">
        <v>2044</v>
      </c>
      <c r="DL548" s="369" t="s">
        <v>1328</v>
      </c>
      <c r="DM548" s="369" t="s">
        <v>1964</v>
      </c>
      <c r="DN548" s="369" t="s">
        <v>1965</v>
      </c>
      <c r="DO548" s="462" t="s">
        <v>1966</v>
      </c>
      <c r="DQ548" s="58" t="s">
        <v>231</v>
      </c>
    </row>
    <row r="549" spans="114:121" ht="15.75" customHeight="1">
      <c r="DJ549" s="369" t="s">
        <v>2045</v>
      </c>
      <c r="DK549" s="461" t="s">
        <v>2046</v>
      </c>
      <c r="DL549" s="369" t="s">
        <v>1328</v>
      </c>
      <c r="DM549" s="369" t="s">
        <v>1964</v>
      </c>
      <c r="DN549" s="369" t="s">
        <v>1965</v>
      </c>
      <c r="DO549" s="462" t="s">
        <v>1966</v>
      </c>
      <c r="DQ549" s="58" t="s">
        <v>231</v>
      </c>
    </row>
    <row r="550" spans="114:121" ht="15.75" customHeight="1">
      <c r="DJ550" s="369" t="s">
        <v>2047</v>
      </c>
      <c r="DK550" s="461" t="s">
        <v>2228</v>
      </c>
      <c r="DL550" s="369" t="s">
        <v>1328</v>
      </c>
      <c r="DM550" s="369" t="s">
        <v>1964</v>
      </c>
      <c r="DN550" s="369" t="s">
        <v>1965</v>
      </c>
      <c r="DO550" s="462" t="s">
        <v>1966</v>
      </c>
      <c r="DQ550" s="58" t="s">
        <v>231</v>
      </c>
    </row>
    <row r="551" spans="114:121" ht="15.75" customHeight="1">
      <c r="DJ551" s="369" t="s">
        <v>2048</v>
      </c>
      <c r="DK551" s="463" t="s">
        <v>2049</v>
      </c>
      <c r="DL551" s="369" t="s">
        <v>1328</v>
      </c>
      <c r="DM551" s="369" t="s">
        <v>1964</v>
      </c>
      <c r="DN551" s="369" t="s">
        <v>1965</v>
      </c>
      <c r="DO551" s="462" t="s">
        <v>1966</v>
      </c>
      <c r="DQ551" s="58" t="s">
        <v>231</v>
      </c>
    </row>
    <row r="552" spans="114:121" ht="15.75" customHeight="1">
      <c r="DJ552" s="369" t="s">
        <v>2050</v>
      </c>
      <c r="DK552" s="463" t="s">
        <v>2051</v>
      </c>
      <c r="DL552" s="369" t="s">
        <v>1328</v>
      </c>
      <c r="DM552" s="369" t="s">
        <v>1964</v>
      </c>
      <c r="DN552" s="369" t="s">
        <v>1965</v>
      </c>
      <c r="DO552" s="462" t="s">
        <v>1966</v>
      </c>
      <c r="DQ552" s="58" t="s">
        <v>231</v>
      </c>
    </row>
    <row r="553" spans="114:121" ht="15.75" customHeight="1">
      <c r="DJ553" s="369" t="s">
        <v>2052</v>
      </c>
      <c r="DK553" s="463" t="s">
        <v>2053</v>
      </c>
      <c r="DL553" s="369" t="s">
        <v>1328</v>
      </c>
      <c r="DM553" s="369" t="s">
        <v>1964</v>
      </c>
      <c r="DN553" s="369" t="s">
        <v>1965</v>
      </c>
      <c r="DO553" s="462" t="s">
        <v>1966</v>
      </c>
      <c r="DQ553" s="58" t="s">
        <v>231</v>
      </c>
    </row>
    <row r="554" spans="114:121" ht="15.75" customHeight="1">
      <c r="DJ554" s="369" t="s">
        <v>2054</v>
      </c>
      <c r="DK554" s="461" t="s">
        <v>2055</v>
      </c>
      <c r="DL554" s="369" t="s">
        <v>2056</v>
      </c>
      <c r="DM554" s="465" t="s">
        <v>2056</v>
      </c>
      <c r="DN554" s="369" t="s">
        <v>2057</v>
      </c>
      <c r="DO554" s="466" t="s">
        <v>2058</v>
      </c>
      <c r="DQ554" s="58" t="s">
        <v>231</v>
      </c>
    </row>
    <row r="555" spans="114:121" ht="15.75" customHeight="1">
      <c r="DJ555" s="369" t="s">
        <v>2059</v>
      </c>
      <c r="DK555" s="463" t="s">
        <v>2060</v>
      </c>
      <c r="DL555" s="369" t="s">
        <v>2056</v>
      </c>
      <c r="DM555" s="465" t="s">
        <v>2056</v>
      </c>
      <c r="DN555" s="369" t="s">
        <v>2057</v>
      </c>
      <c r="DO555" s="466" t="s">
        <v>2058</v>
      </c>
      <c r="DQ555" s="58" t="s">
        <v>231</v>
      </c>
    </row>
    <row r="556" spans="114:121" ht="15.75" customHeight="1">
      <c r="DJ556" s="369" t="s">
        <v>2061</v>
      </c>
      <c r="DK556" s="463" t="s">
        <v>2062</v>
      </c>
      <c r="DL556" s="369" t="s">
        <v>2056</v>
      </c>
      <c r="DM556" s="465" t="s">
        <v>2056</v>
      </c>
      <c r="DN556" s="369" t="s">
        <v>2057</v>
      </c>
      <c r="DO556" s="466" t="s">
        <v>2058</v>
      </c>
      <c r="DQ556" s="58" t="s">
        <v>231</v>
      </c>
    </row>
    <row r="557" spans="114:121" ht="15.75" customHeight="1">
      <c r="DJ557" s="369" t="s">
        <v>2063</v>
      </c>
      <c r="DK557" s="461" t="s">
        <v>2064</v>
      </c>
      <c r="DL557" s="369" t="s">
        <v>2056</v>
      </c>
      <c r="DM557" s="465" t="s">
        <v>2056</v>
      </c>
      <c r="DN557" s="369" t="s">
        <v>2057</v>
      </c>
      <c r="DO557" s="466" t="s">
        <v>2058</v>
      </c>
      <c r="DQ557" s="58" t="s">
        <v>231</v>
      </c>
    </row>
    <row r="558" spans="114:121" ht="15.75" customHeight="1">
      <c r="DJ558" s="369" t="s">
        <v>2065</v>
      </c>
      <c r="DK558" s="461" t="s">
        <v>2066</v>
      </c>
      <c r="DL558" s="369" t="s">
        <v>2056</v>
      </c>
      <c r="DM558" s="465" t="s">
        <v>2056</v>
      </c>
      <c r="DN558" s="369" t="s">
        <v>2057</v>
      </c>
      <c r="DO558" s="466" t="s">
        <v>2058</v>
      </c>
      <c r="DQ558" s="58" t="s">
        <v>231</v>
      </c>
    </row>
    <row r="559" spans="114:121" ht="15.75" customHeight="1">
      <c r="DJ559" s="369" t="s">
        <v>2067</v>
      </c>
      <c r="DK559" s="461" t="s">
        <v>2068</v>
      </c>
      <c r="DL559" s="369" t="s">
        <v>2056</v>
      </c>
      <c r="DM559" s="465" t="s">
        <v>2056</v>
      </c>
      <c r="DN559" s="369" t="s">
        <v>2057</v>
      </c>
      <c r="DO559" s="466" t="s">
        <v>2058</v>
      </c>
      <c r="DQ559" s="58" t="s">
        <v>231</v>
      </c>
    </row>
    <row r="560" spans="114:121" ht="15.75" customHeight="1">
      <c r="DJ560" s="369" t="s">
        <v>2069</v>
      </c>
      <c r="DK560" s="463" t="s">
        <v>2070</v>
      </c>
      <c r="DL560" s="369" t="s">
        <v>2056</v>
      </c>
      <c r="DM560" s="465" t="s">
        <v>2056</v>
      </c>
      <c r="DN560" s="369" t="s">
        <v>2057</v>
      </c>
      <c r="DO560" s="466" t="s">
        <v>2058</v>
      </c>
      <c r="DQ560" s="58" t="s">
        <v>231</v>
      </c>
    </row>
    <row r="561" spans="114:121" ht="15.75" customHeight="1">
      <c r="DJ561" s="369" t="s">
        <v>2071</v>
      </c>
      <c r="DK561" s="463" t="s">
        <v>2072</v>
      </c>
      <c r="DL561" s="369" t="s">
        <v>2056</v>
      </c>
      <c r="DM561" s="465" t="s">
        <v>2056</v>
      </c>
      <c r="DN561" s="369" t="s">
        <v>2057</v>
      </c>
      <c r="DO561" s="466" t="s">
        <v>2058</v>
      </c>
      <c r="DQ561" s="58" t="s">
        <v>231</v>
      </c>
    </row>
    <row r="562" spans="114:121" ht="15.75" customHeight="1">
      <c r="DJ562" s="369" t="s">
        <v>2073</v>
      </c>
      <c r="DK562" s="461" t="s">
        <v>2074</v>
      </c>
      <c r="DL562" s="369" t="s">
        <v>2056</v>
      </c>
      <c r="DM562" s="465" t="s">
        <v>2056</v>
      </c>
      <c r="DN562" s="369" t="s">
        <v>2057</v>
      </c>
      <c r="DO562" s="466" t="s">
        <v>2058</v>
      </c>
      <c r="DQ562" s="58" t="s">
        <v>231</v>
      </c>
    </row>
    <row r="563" spans="114:121" ht="15.75" customHeight="1">
      <c r="DJ563" s="369" t="s">
        <v>2075</v>
      </c>
      <c r="DK563" s="463" t="s">
        <v>2076</v>
      </c>
      <c r="DL563" s="369" t="s">
        <v>2056</v>
      </c>
      <c r="DM563" s="465" t="s">
        <v>2056</v>
      </c>
      <c r="DN563" s="369" t="s">
        <v>2057</v>
      </c>
      <c r="DO563" s="466" t="s">
        <v>2058</v>
      </c>
      <c r="DQ563" s="58" t="s">
        <v>231</v>
      </c>
    </row>
    <row r="564" spans="114:121" ht="15.75" customHeight="1">
      <c r="DJ564" s="369" t="s">
        <v>2077</v>
      </c>
      <c r="DK564" s="463" t="s">
        <v>2078</v>
      </c>
      <c r="DL564" s="369" t="s">
        <v>2056</v>
      </c>
      <c r="DM564" s="465" t="s">
        <v>2056</v>
      </c>
      <c r="DN564" s="369" t="s">
        <v>2057</v>
      </c>
      <c r="DO564" s="466" t="s">
        <v>2058</v>
      </c>
      <c r="DQ564" s="58" t="s">
        <v>231</v>
      </c>
    </row>
    <row r="565" spans="114:121" ht="15.75" customHeight="1">
      <c r="DJ565" s="369" t="s">
        <v>2079</v>
      </c>
      <c r="DK565" s="463" t="s">
        <v>2080</v>
      </c>
      <c r="DL565" s="369" t="s">
        <v>2056</v>
      </c>
      <c r="DM565" s="465" t="s">
        <v>2056</v>
      </c>
      <c r="DN565" s="369" t="s">
        <v>2057</v>
      </c>
      <c r="DO565" s="466" t="s">
        <v>2058</v>
      </c>
      <c r="DQ565" s="58" t="s">
        <v>231</v>
      </c>
    </row>
    <row r="566" spans="114:121" ht="15.75" customHeight="1">
      <c r="DJ566" s="369" t="s">
        <v>2081</v>
      </c>
      <c r="DK566" s="463" t="s">
        <v>2082</v>
      </c>
      <c r="DL566" s="369" t="s">
        <v>2056</v>
      </c>
      <c r="DM566" s="465" t="s">
        <v>2056</v>
      </c>
      <c r="DN566" s="369" t="s">
        <v>2057</v>
      </c>
      <c r="DO566" s="466" t="s">
        <v>2058</v>
      </c>
      <c r="DQ566" s="58" t="s">
        <v>231</v>
      </c>
    </row>
    <row r="567" spans="114:121" ht="15.75" customHeight="1">
      <c r="DJ567" s="369" t="s">
        <v>2083</v>
      </c>
      <c r="DK567" s="461" t="s">
        <v>2084</v>
      </c>
      <c r="DL567" s="369" t="s">
        <v>2056</v>
      </c>
      <c r="DM567" s="465" t="s">
        <v>2056</v>
      </c>
      <c r="DN567" s="369" t="s">
        <v>2057</v>
      </c>
      <c r="DO567" s="466" t="s">
        <v>2058</v>
      </c>
      <c r="DQ567" s="58" t="s">
        <v>231</v>
      </c>
    </row>
    <row r="568" spans="114:121" ht="15.75" customHeight="1">
      <c r="DJ568" s="369" t="s">
        <v>2085</v>
      </c>
      <c r="DK568" s="463" t="s">
        <v>2086</v>
      </c>
      <c r="DL568" s="369" t="s">
        <v>2056</v>
      </c>
      <c r="DM568" s="465" t="s">
        <v>2056</v>
      </c>
      <c r="DN568" s="369" t="s">
        <v>2057</v>
      </c>
      <c r="DO568" s="466" t="s">
        <v>2058</v>
      </c>
      <c r="DQ568" s="58" t="s">
        <v>231</v>
      </c>
    </row>
    <row r="569" spans="114:121" ht="15.75" customHeight="1">
      <c r="DJ569" s="369" t="s">
        <v>2087</v>
      </c>
      <c r="DK569" s="461" t="s">
        <v>2088</v>
      </c>
      <c r="DL569" s="369" t="s">
        <v>2089</v>
      </c>
      <c r="DM569" s="369" t="s">
        <v>2090</v>
      </c>
      <c r="DN569" s="369" t="s">
        <v>2091</v>
      </c>
      <c r="DO569" s="462" t="s">
        <v>2092</v>
      </c>
      <c r="DQ569" s="58" t="s">
        <v>231</v>
      </c>
    </row>
    <row r="570" spans="114:121" ht="15.75" customHeight="1">
      <c r="DJ570" s="369" t="s">
        <v>2093</v>
      </c>
      <c r="DK570" s="461" t="s">
        <v>2094</v>
      </c>
      <c r="DL570" s="369" t="s">
        <v>2089</v>
      </c>
      <c r="DM570" s="369" t="s">
        <v>2090</v>
      </c>
      <c r="DN570" s="369" t="s">
        <v>2091</v>
      </c>
      <c r="DO570" s="462" t="s">
        <v>2092</v>
      </c>
      <c r="DQ570" s="58" t="s">
        <v>231</v>
      </c>
    </row>
    <row r="571" spans="114:121" ht="15.75" customHeight="1">
      <c r="DJ571" s="369" t="s">
        <v>2095</v>
      </c>
      <c r="DK571" s="461" t="s">
        <v>2096</v>
      </c>
      <c r="DL571" s="369" t="s">
        <v>2089</v>
      </c>
      <c r="DM571" s="369" t="s">
        <v>2090</v>
      </c>
      <c r="DN571" s="369" t="s">
        <v>2091</v>
      </c>
      <c r="DO571" s="462" t="s">
        <v>2092</v>
      </c>
      <c r="DQ571" s="58" t="s">
        <v>231</v>
      </c>
    </row>
    <row r="572" spans="114:121" ht="15.75" customHeight="1">
      <c r="DJ572" s="369" t="s">
        <v>2097</v>
      </c>
      <c r="DK572" s="463" t="s">
        <v>2098</v>
      </c>
      <c r="DL572" s="369" t="s">
        <v>2089</v>
      </c>
      <c r="DM572" s="369" t="s">
        <v>2090</v>
      </c>
      <c r="DN572" s="369" t="s">
        <v>2091</v>
      </c>
      <c r="DO572" s="462" t="s">
        <v>2092</v>
      </c>
      <c r="DQ572" s="58" t="s">
        <v>231</v>
      </c>
    </row>
    <row r="573" spans="114:121" ht="15.75" customHeight="1">
      <c r="DJ573" s="369" t="s">
        <v>2099</v>
      </c>
      <c r="DK573" s="461" t="s">
        <v>2100</v>
      </c>
      <c r="DL573" s="369" t="s">
        <v>2089</v>
      </c>
      <c r="DM573" s="369" t="s">
        <v>2090</v>
      </c>
      <c r="DN573" s="369" t="s">
        <v>2091</v>
      </c>
      <c r="DO573" s="462" t="s">
        <v>2092</v>
      </c>
      <c r="DQ573" s="58" t="s">
        <v>231</v>
      </c>
    </row>
    <row r="574" spans="114:121" ht="15.75" customHeight="1">
      <c r="DJ574" s="369" t="s">
        <v>2101</v>
      </c>
      <c r="DK574" s="461" t="s">
        <v>2102</v>
      </c>
      <c r="DL574" s="369" t="s">
        <v>1977</v>
      </c>
      <c r="DM574" s="369" t="s">
        <v>1978</v>
      </c>
      <c r="DN574" s="369" t="s">
        <v>1979</v>
      </c>
      <c r="DO574" s="462" t="s">
        <v>1980</v>
      </c>
      <c r="DQ574" s="58" t="s">
        <v>231</v>
      </c>
    </row>
    <row r="575" spans="114:121" ht="15.75" customHeight="1">
      <c r="DJ575" s="369" t="s">
        <v>2103</v>
      </c>
      <c r="DK575" s="461" t="s">
        <v>2104</v>
      </c>
      <c r="DL575" s="369" t="s">
        <v>1977</v>
      </c>
      <c r="DM575" s="369" t="s">
        <v>1978</v>
      </c>
      <c r="DN575" s="369" t="s">
        <v>1979</v>
      </c>
      <c r="DO575" s="462" t="s">
        <v>1980</v>
      </c>
      <c r="DQ575" s="58" t="s">
        <v>231</v>
      </c>
    </row>
    <row r="576" spans="114:121" ht="15.75" customHeight="1">
      <c r="DJ576" s="369" t="s">
        <v>2105</v>
      </c>
      <c r="DK576" s="461" t="s">
        <v>2106</v>
      </c>
      <c r="DL576" s="369" t="s">
        <v>1977</v>
      </c>
      <c r="DM576" s="369" t="s">
        <v>1978</v>
      </c>
      <c r="DN576" s="369" t="s">
        <v>1979</v>
      </c>
      <c r="DO576" s="462" t="s">
        <v>1980</v>
      </c>
      <c r="DQ576" s="58" t="s">
        <v>231</v>
      </c>
    </row>
    <row r="577" spans="114:121" ht="15.75" customHeight="1">
      <c r="DJ577" s="369" t="s">
        <v>2107</v>
      </c>
      <c r="DK577" s="463" t="s">
        <v>2108</v>
      </c>
      <c r="DL577" s="369" t="s">
        <v>1977</v>
      </c>
      <c r="DM577" s="369" t="s">
        <v>1978</v>
      </c>
      <c r="DN577" s="369" t="s">
        <v>1979</v>
      </c>
      <c r="DO577" s="462" t="s">
        <v>1980</v>
      </c>
      <c r="DQ577" s="58" t="s">
        <v>231</v>
      </c>
    </row>
    <row r="578" spans="114:121" ht="15.75" customHeight="1">
      <c r="DJ578" s="369" t="s">
        <v>2109</v>
      </c>
      <c r="DK578" s="461" t="s">
        <v>2110</v>
      </c>
      <c r="DL578" s="369" t="s">
        <v>1977</v>
      </c>
      <c r="DM578" s="369" t="s">
        <v>1978</v>
      </c>
      <c r="DN578" s="369" t="s">
        <v>1979</v>
      </c>
      <c r="DO578" s="462" t="s">
        <v>1980</v>
      </c>
      <c r="DQ578" s="58" t="s">
        <v>231</v>
      </c>
    </row>
    <row r="579" spans="114:121" ht="15.75" customHeight="1">
      <c r="DJ579" s="369" t="s">
        <v>2111</v>
      </c>
      <c r="DK579" s="463" t="s">
        <v>2112</v>
      </c>
      <c r="DL579" s="369" t="s">
        <v>1977</v>
      </c>
      <c r="DM579" s="369" t="s">
        <v>2113</v>
      </c>
      <c r="DN579" s="369" t="s">
        <v>2114</v>
      </c>
      <c r="DO579" s="462" t="s">
        <v>2115</v>
      </c>
      <c r="DQ579" s="58" t="s">
        <v>231</v>
      </c>
    </row>
    <row r="580" spans="114:121" ht="15.75" customHeight="1">
      <c r="DJ580" s="369" t="s">
        <v>2116</v>
      </c>
      <c r="DK580" s="463" t="s">
        <v>2117</v>
      </c>
      <c r="DL580" s="369" t="s">
        <v>1977</v>
      </c>
      <c r="DM580" s="369" t="s">
        <v>2113</v>
      </c>
      <c r="DN580" s="369" t="s">
        <v>2114</v>
      </c>
      <c r="DO580" s="462" t="s">
        <v>2115</v>
      </c>
      <c r="DQ580" s="58" t="s">
        <v>231</v>
      </c>
    </row>
    <row r="581" spans="114:121" ht="15.75" customHeight="1">
      <c r="DJ581" s="369" t="s">
        <v>2118</v>
      </c>
      <c r="DK581" s="463" t="s">
        <v>2119</v>
      </c>
      <c r="DL581" s="369" t="s">
        <v>1977</v>
      </c>
      <c r="DM581" s="369" t="s">
        <v>2113</v>
      </c>
      <c r="DN581" s="369" t="s">
        <v>2114</v>
      </c>
      <c r="DO581" s="462" t="s">
        <v>2115</v>
      </c>
      <c r="DQ581" s="58" t="s">
        <v>231</v>
      </c>
    </row>
    <row r="582" spans="114:121" ht="15.75" customHeight="1">
      <c r="DJ582" s="369" t="s">
        <v>2120</v>
      </c>
      <c r="DK582" s="463" t="s">
        <v>2121</v>
      </c>
      <c r="DL582" s="369" t="s">
        <v>1977</v>
      </c>
      <c r="DM582" s="369" t="s">
        <v>2113</v>
      </c>
      <c r="DN582" s="369" t="s">
        <v>2114</v>
      </c>
      <c r="DO582" s="462" t="s">
        <v>2115</v>
      </c>
      <c r="DQ582" s="58" t="s">
        <v>231</v>
      </c>
    </row>
    <row r="583" spans="114:121" ht="15.75" customHeight="1">
      <c r="DJ583" s="369" t="s">
        <v>2122</v>
      </c>
      <c r="DK583" s="463" t="s">
        <v>2123</v>
      </c>
      <c r="DL583" s="369" t="s">
        <v>1977</v>
      </c>
      <c r="DM583" s="369" t="s">
        <v>2113</v>
      </c>
      <c r="DN583" s="369" t="s">
        <v>2114</v>
      </c>
      <c r="DO583" s="462" t="s">
        <v>2115</v>
      </c>
      <c r="DQ583" s="58" t="s">
        <v>231</v>
      </c>
    </row>
    <row r="584" spans="114:121" ht="15.75" customHeight="1">
      <c r="DJ584" s="369" t="s">
        <v>2124</v>
      </c>
      <c r="DK584" s="463" t="s">
        <v>2125</v>
      </c>
      <c r="DL584" s="369" t="s">
        <v>1977</v>
      </c>
      <c r="DM584" s="369" t="s">
        <v>2113</v>
      </c>
      <c r="DN584" s="369" t="s">
        <v>2114</v>
      </c>
      <c r="DO584" s="462" t="s">
        <v>2115</v>
      </c>
      <c r="DQ584" s="58" t="s">
        <v>231</v>
      </c>
    </row>
    <row r="585" spans="114:121" ht="15.75" customHeight="1">
      <c r="DJ585" s="369" t="s">
        <v>2126</v>
      </c>
      <c r="DK585" s="461" t="s">
        <v>2127</v>
      </c>
      <c r="DL585" s="369" t="s">
        <v>1977</v>
      </c>
      <c r="DM585" s="369" t="s">
        <v>2113</v>
      </c>
      <c r="DN585" s="369" t="s">
        <v>2114</v>
      </c>
      <c r="DO585" s="462" t="s">
        <v>2115</v>
      </c>
      <c r="DQ585" s="58" t="s">
        <v>231</v>
      </c>
    </row>
    <row r="586" spans="114:121" ht="15.75" customHeight="1">
      <c r="DJ586" s="369" t="s">
        <v>2128</v>
      </c>
      <c r="DK586" s="461" t="s">
        <v>2129</v>
      </c>
      <c r="DL586" s="369" t="s">
        <v>2130</v>
      </c>
      <c r="DM586" s="369" t="s">
        <v>2131</v>
      </c>
      <c r="DN586" s="369" t="s">
        <v>2132</v>
      </c>
      <c r="DO586" s="462" t="s">
        <v>2133</v>
      </c>
      <c r="DQ586" s="58" t="s">
        <v>231</v>
      </c>
    </row>
    <row r="587" spans="114:121" ht="15.75" customHeight="1">
      <c r="DJ587" s="369" t="s">
        <v>2134</v>
      </c>
      <c r="DK587" s="461" t="s">
        <v>2135</v>
      </c>
      <c r="DL587" s="369" t="s">
        <v>2130</v>
      </c>
      <c r="DM587" s="369" t="s">
        <v>2131</v>
      </c>
      <c r="DN587" s="369" t="s">
        <v>2132</v>
      </c>
      <c r="DO587" s="462" t="s">
        <v>2133</v>
      </c>
      <c r="DQ587" s="58" t="s">
        <v>231</v>
      </c>
    </row>
    <row r="588" spans="114:121" ht="15.75" customHeight="1">
      <c r="DJ588" s="369" t="s">
        <v>2136</v>
      </c>
      <c r="DK588" s="461" t="s">
        <v>2137</v>
      </c>
      <c r="DL588" s="369" t="s">
        <v>2130</v>
      </c>
      <c r="DM588" s="369" t="s">
        <v>2131</v>
      </c>
      <c r="DN588" s="369" t="s">
        <v>2132</v>
      </c>
      <c r="DO588" s="462" t="s">
        <v>2133</v>
      </c>
      <c r="DQ588" s="58" t="s">
        <v>231</v>
      </c>
    </row>
    <row r="589" spans="114:121" ht="15.75" customHeight="1">
      <c r="DJ589" s="369" t="s">
        <v>2138</v>
      </c>
      <c r="DK589" s="461" t="s">
        <v>2139</v>
      </c>
      <c r="DL589" s="369" t="s">
        <v>2130</v>
      </c>
      <c r="DM589" s="369" t="s">
        <v>2131</v>
      </c>
      <c r="DN589" s="369" t="s">
        <v>2132</v>
      </c>
      <c r="DO589" s="462" t="s">
        <v>2133</v>
      </c>
      <c r="DQ589" s="58" t="s">
        <v>231</v>
      </c>
    </row>
    <row r="590" spans="114:121" ht="15.75" customHeight="1">
      <c r="DJ590" s="369" t="s">
        <v>2140</v>
      </c>
      <c r="DK590" s="461" t="s">
        <v>2141</v>
      </c>
      <c r="DL590" s="369" t="s">
        <v>2130</v>
      </c>
      <c r="DM590" s="369" t="s">
        <v>2131</v>
      </c>
      <c r="DN590" s="369" t="s">
        <v>2132</v>
      </c>
      <c r="DO590" s="462" t="s">
        <v>2133</v>
      </c>
      <c r="DQ590" s="58" t="s">
        <v>231</v>
      </c>
    </row>
    <row r="591" spans="114:121" ht="15.75" customHeight="1">
      <c r="DJ591" s="369" t="s">
        <v>2142</v>
      </c>
      <c r="DK591" s="463" t="s">
        <v>2143</v>
      </c>
      <c r="DL591" s="369" t="s">
        <v>2130</v>
      </c>
      <c r="DM591" s="369" t="s">
        <v>2131</v>
      </c>
      <c r="DN591" s="369" t="s">
        <v>2132</v>
      </c>
      <c r="DO591" s="462" t="s">
        <v>2133</v>
      </c>
      <c r="DQ591" s="58" t="s">
        <v>231</v>
      </c>
    </row>
    <row r="592" spans="114:121" ht="15.75" customHeight="1">
      <c r="DJ592" s="369" t="s">
        <v>2144</v>
      </c>
      <c r="DK592" s="463" t="s">
        <v>2145</v>
      </c>
      <c r="DL592" s="369" t="s">
        <v>2130</v>
      </c>
      <c r="DM592" s="369" t="s">
        <v>2131</v>
      </c>
      <c r="DN592" s="369" t="s">
        <v>2132</v>
      </c>
      <c r="DO592" s="462" t="s">
        <v>2133</v>
      </c>
      <c r="DQ592" s="58" t="s">
        <v>231</v>
      </c>
    </row>
    <row r="593" spans="114:121" ht="15.75" customHeight="1">
      <c r="DJ593" s="369" t="s">
        <v>2146</v>
      </c>
      <c r="DK593" s="463" t="s">
        <v>2147</v>
      </c>
      <c r="DL593" s="369" t="s">
        <v>2130</v>
      </c>
      <c r="DM593" s="369" t="s">
        <v>2131</v>
      </c>
      <c r="DN593" s="369" t="s">
        <v>2132</v>
      </c>
      <c r="DO593" s="462" t="s">
        <v>2133</v>
      </c>
      <c r="DQ593" s="58" t="s">
        <v>231</v>
      </c>
    </row>
    <row r="594" spans="114:121" ht="15.75" customHeight="1">
      <c r="DJ594" s="369" t="s">
        <v>2148</v>
      </c>
      <c r="DK594" s="463" t="s">
        <v>2149</v>
      </c>
      <c r="DL594" s="369" t="s">
        <v>2130</v>
      </c>
      <c r="DM594" s="369" t="s">
        <v>2150</v>
      </c>
      <c r="DN594" s="369" t="s">
        <v>2151</v>
      </c>
      <c r="DO594" s="462" t="s">
        <v>2152</v>
      </c>
      <c r="DQ594" s="58" t="s">
        <v>231</v>
      </c>
    </row>
    <row r="595" spans="114:121" ht="15.75" customHeight="1">
      <c r="DJ595" s="369" t="s">
        <v>2153</v>
      </c>
      <c r="DK595" s="463" t="s">
        <v>2154</v>
      </c>
      <c r="DL595" s="369" t="s">
        <v>2130</v>
      </c>
      <c r="DM595" s="369" t="s">
        <v>2150</v>
      </c>
      <c r="DN595" s="369" t="s">
        <v>2151</v>
      </c>
      <c r="DO595" s="462" t="s">
        <v>2152</v>
      </c>
      <c r="DQ595" s="58" t="s">
        <v>231</v>
      </c>
    </row>
    <row r="596" spans="114:121" ht="15.75" customHeight="1">
      <c r="DJ596" s="369" t="s">
        <v>2155</v>
      </c>
      <c r="DK596" s="463" t="s">
        <v>2156</v>
      </c>
      <c r="DL596" s="369" t="s">
        <v>2130</v>
      </c>
      <c r="DM596" s="369" t="s">
        <v>2150</v>
      </c>
      <c r="DN596" s="369" t="s">
        <v>2151</v>
      </c>
      <c r="DO596" s="462" t="s">
        <v>2152</v>
      </c>
      <c r="DQ596" s="58" t="s">
        <v>231</v>
      </c>
    </row>
    <row r="597" spans="114:121" ht="15.75" customHeight="1">
      <c r="DJ597" s="369" t="s">
        <v>2157</v>
      </c>
      <c r="DK597" s="463" t="s">
        <v>2158</v>
      </c>
      <c r="DL597" s="369" t="s">
        <v>2130</v>
      </c>
      <c r="DM597" s="369" t="s">
        <v>2150</v>
      </c>
      <c r="DN597" s="369" t="s">
        <v>2151</v>
      </c>
      <c r="DO597" s="462" t="s">
        <v>2152</v>
      </c>
      <c r="DQ597" s="58" t="s">
        <v>231</v>
      </c>
    </row>
    <row r="598" spans="114:121" ht="15.75" customHeight="1">
      <c r="DJ598" s="369" t="s">
        <v>2159</v>
      </c>
      <c r="DK598" s="461" t="s">
        <v>2160</v>
      </c>
      <c r="DL598" s="369" t="s">
        <v>2130</v>
      </c>
      <c r="DM598" s="369" t="s">
        <v>2150</v>
      </c>
      <c r="DN598" s="369" t="s">
        <v>2151</v>
      </c>
      <c r="DO598" s="462" t="s">
        <v>2152</v>
      </c>
      <c r="DQ598" s="58" t="s">
        <v>231</v>
      </c>
    </row>
    <row r="599" spans="114:121" ht="15.75" customHeight="1">
      <c r="DJ599" s="369" t="s">
        <v>2161</v>
      </c>
      <c r="DK599" s="463" t="s">
        <v>2162</v>
      </c>
      <c r="DL599" s="369" t="s">
        <v>2130</v>
      </c>
      <c r="DM599" s="369" t="s">
        <v>2150</v>
      </c>
      <c r="DN599" s="369" t="s">
        <v>2151</v>
      </c>
      <c r="DO599" s="462" t="s">
        <v>2152</v>
      </c>
      <c r="DQ599" s="58" t="s">
        <v>231</v>
      </c>
    </row>
    <row r="600" spans="114:121" ht="15.75" customHeight="1">
      <c r="DJ600" s="369" t="s">
        <v>2163</v>
      </c>
      <c r="DK600" s="461" t="s">
        <v>2164</v>
      </c>
      <c r="DL600" s="369" t="s">
        <v>2130</v>
      </c>
      <c r="DM600" s="369" t="s">
        <v>2150</v>
      </c>
      <c r="DN600" s="369" t="s">
        <v>2151</v>
      </c>
      <c r="DO600" s="462" t="s">
        <v>2152</v>
      </c>
      <c r="DQ600" s="58" t="s">
        <v>231</v>
      </c>
    </row>
    <row r="601" spans="114:121" ht="15.75" customHeight="1">
      <c r="DJ601" s="369" t="s">
        <v>2165</v>
      </c>
      <c r="DK601" s="463" t="s">
        <v>2166</v>
      </c>
      <c r="DL601" s="369" t="s">
        <v>2056</v>
      </c>
      <c r="DM601" s="465" t="s">
        <v>2056</v>
      </c>
      <c r="DN601" s="369" t="s">
        <v>2057</v>
      </c>
      <c r="DO601" s="466" t="s">
        <v>2058</v>
      </c>
      <c r="DQ601" s="58" t="s">
        <v>231</v>
      </c>
    </row>
    <row r="602" spans="114:121" ht="15.75" customHeight="1">
      <c r="DJ602" s="369" t="s">
        <v>2167</v>
      </c>
      <c r="DK602" s="461" t="s">
        <v>2168</v>
      </c>
      <c r="DL602" s="369" t="s">
        <v>2056</v>
      </c>
      <c r="DM602" s="465" t="s">
        <v>2056</v>
      </c>
      <c r="DN602" s="369" t="s">
        <v>2057</v>
      </c>
      <c r="DO602" s="466" t="s">
        <v>2058</v>
      </c>
      <c r="DQ602" s="58" t="s">
        <v>231</v>
      </c>
    </row>
    <row r="603" spans="114:121" ht="15.75" customHeight="1">
      <c r="DJ603" s="369" t="s">
        <v>2169</v>
      </c>
      <c r="DK603" s="461" t="s">
        <v>2170</v>
      </c>
      <c r="DL603" s="369" t="s">
        <v>2056</v>
      </c>
      <c r="DM603" s="465" t="s">
        <v>2056</v>
      </c>
      <c r="DN603" s="369" t="s">
        <v>2057</v>
      </c>
      <c r="DO603" s="466" t="s">
        <v>2058</v>
      </c>
      <c r="DQ603" s="58" t="s">
        <v>231</v>
      </c>
    </row>
    <row r="604" spans="114:121" ht="15.75" customHeight="1">
      <c r="DJ604" s="369" t="s">
        <v>2171</v>
      </c>
      <c r="DK604" s="461" t="s">
        <v>2172</v>
      </c>
      <c r="DL604" s="369" t="s">
        <v>2056</v>
      </c>
      <c r="DM604" s="465" t="s">
        <v>2056</v>
      </c>
      <c r="DN604" s="369" t="s">
        <v>2057</v>
      </c>
      <c r="DO604" s="466" t="s">
        <v>2058</v>
      </c>
      <c r="DQ604" s="58" t="s">
        <v>231</v>
      </c>
    </row>
    <row r="605" spans="114:121" ht="15.75" customHeight="1">
      <c r="DJ605" s="369" t="s">
        <v>2173</v>
      </c>
      <c r="DK605" s="461" t="s">
        <v>2174</v>
      </c>
      <c r="DL605" s="369" t="s">
        <v>2056</v>
      </c>
      <c r="DM605" s="465" t="s">
        <v>2056</v>
      </c>
      <c r="DN605" s="369" t="s">
        <v>2057</v>
      </c>
      <c r="DO605" s="466" t="s">
        <v>2058</v>
      </c>
      <c r="DQ605" s="58" t="s">
        <v>231</v>
      </c>
    </row>
    <row r="606" spans="114:121" ht="15.75" customHeight="1">
      <c r="DJ606" s="369" t="s">
        <v>2175</v>
      </c>
      <c r="DK606" s="461" t="s">
        <v>2176</v>
      </c>
      <c r="DL606" s="369" t="s">
        <v>2056</v>
      </c>
      <c r="DM606" s="465" t="s">
        <v>2056</v>
      </c>
      <c r="DN606" s="369" t="s">
        <v>2057</v>
      </c>
      <c r="DO606" s="466" t="s">
        <v>2058</v>
      </c>
      <c r="DQ606" s="58" t="s">
        <v>231</v>
      </c>
    </row>
    <row r="607" spans="114:121" ht="15.75" customHeight="1">
      <c r="DJ607" s="369" t="s">
        <v>2177</v>
      </c>
      <c r="DK607" s="463" t="s">
        <v>2178</v>
      </c>
      <c r="DL607" s="369" t="s">
        <v>1777</v>
      </c>
      <c r="DM607" s="369" t="s">
        <v>1829</v>
      </c>
      <c r="DN607" s="369" t="s">
        <v>1830</v>
      </c>
      <c r="DO607" s="462" t="s">
        <v>1831</v>
      </c>
      <c r="DQ607" s="58" t="s">
        <v>231</v>
      </c>
    </row>
    <row r="608" spans="114:121" ht="15.75" customHeight="1">
      <c r="DJ608" s="369" t="s">
        <v>2179</v>
      </c>
      <c r="DK608" s="463" t="s">
        <v>2180</v>
      </c>
      <c r="DL608" s="369" t="s">
        <v>1777</v>
      </c>
      <c r="DM608" s="369" t="s">
        <v>1829</v>
      </c>
      <c r="DN608" s="369" t="s">
        <v>1830</v>
      </c>
      <c r="DO608" s="462" t="s">
        <v>1831</v>
      </c>
      <c r="DQ608" s="58" t="s">
        <v>231</v>
      </c>
    </row>
    <row r="609" spans="114:121" ht="15.75" customHeight="1">
      <c r="DJ609" s="369" t="s">
        <v>2181</v>
      </c>
      <c r="DK609" s="463" t="s">
        <v>2182</v>
      </c>
      <c r="DL609" s="369" t="s">
        <v>2130</v>
      </c>
      <c r="DM609" s="369" t="s">
        <v>2130</v>
      </c>
      <c r="DN609" s="369" t="s">
        <v>2183</v>
      </c>
      <c r="DO609" s="462" t="s">
        <v>2184</v>
      </c>
      <c r="DQ609" s="58" t="s">
        <v>231</v>
      </c>
    </row>
    <row r="610" spans="114:121" ht="15.75" customHeight="1">
      <c r="DJ610" s="369" t="s">
        <v>2185</v>
      </c>
      <c r="DK610" s="463" t="s">
        <v>2186</v>
      </c>
      <c r="DL610" s="369" t="s">
        <v>2130</v>
      </c>
      <c r="DM610" s="369" t="s">
        <v>2130</v>
      </c>
      <c r="DN610" s="369" t="s">
        <v>2183</v>
      </c>
      <c r="DO610" s="462" t="s">
        <v>2184</v>
      </c>
      <c r="DQ610" s="58" t="s">
        <v>231</v>
      </c>
    </row>
    <row r="611" spans="114:121" ht="15.75" customHeight="1">
      <c r="DJ611" s="369" t="s">
        <v>2187</v>
      </c>
      <c r="DK611" s="463" t="s">
        <v>2188</v>
      </c>
      <c r="DL611" s="369" t="s">
        <v>2130</v>
      </c>
      <c r="DM611" s="369" t="s">
        <v>2130</v>
      </c>
      <c r="DN611" s="369" t="s">
        <v>2183</v>
      </c>
      <c r="DO611" s="462" t="s">
        <v>2184</v>
      </c>
      <c r="DQ611" s="58" t="s">
        <v>231</v>
      </c>
    </row>
    <row r="612" spans="114:121" ht="15.75" customHeight="1">
      <c r="DJ612" s="369" t="s">
        <v>2189</v>
      </c>
      <c r="DK612" s="463" t="s">
        <v>2190</v>
      </c>
      <c r="DL612" s="369" t="s">
        <v>2130</v>
      </c>
      <c r="DM612" s="369" t="s">
        <v>2130</v>
      </c>
      <c r="DN612" s="369" t="s">
        <v>2183</v>
      </c>
      <c r="DO612" s="462" t="s">
        <v>2184</v>
      </c>
      <c r="DQ612" s="58" t="s">
        <v>231</v>
      </c>
    </row>
    <row r="613" spans="114:121" ht="15.75" customHeight="1">
      <c r="DJ613" s="369" t="s">
        <v>2191</v>
      </c>
      <c r="DK613" s="463" t="s">
        <v>2192</v>
      </c>
      <c r="DL613" s="369" t="s">
        <v>2130</v>
      </c>
      <c r="DM613" s="369" t="s">
        <v>2130</v>
      </c>
      <c r="DN613" s="369" t="s">
        <v>2183</v>
      </c>
      <c r="DO613" s="462" t="s">
        <v>2184</v>
      </c>
      <c r="DQ613" s="58" t="s">
        <v>231</v>
      </c>
    </row>
    <row r="614" spans="114:121" ht="15.75" customHeight="1">
      <c r="DJ614" s="369" t="s">
        <v>2193</v>
      </c>
      <c r="DK614" s="463" t="s">
        <v>2194</v>
      </c>
      <c r="DL614" s="369" t="s">
        <v>2130</v>
      </c>
      <c r="DM614" s="369" t="s">
        <v>2130</v>
      </c>
      <c r="DN614" s="369" t="s">
        <v>2183</v>
      </c>
      <c r="DO614" s="462" t="s">
        <v>2184</v>
      </c>
      <c r="DQ614" s="58" t="s">
        <v>231</v>
      </c>
    </row>
    <row r="615" spans="114:121" ht="15.75" customHeight="1">
      <c r="DJ615" s="369" t="s">
        <v>2195</v>
      </c>
      <c r="DK615" s="463" t="s">
        <v>2196</v>
      </c>
      <c r="DL615" s="369" t="s">
        <v>2130</v>
      </c>
      <c r="DM615" s="369" t="s">
        <v>2197</v>
      </c>
      <c r="DN615" s="369" t="s">
        <v>2198</v>
      </c>
      <c r="DO615" s="462" t="s">
        <v>2199</v>
      </c>
      <c r="DQ615" s="58" t="s">
        <v>231</v>
      </c>
    </row>
    <row r="616" spans="114:121" ht="15.75" customHeight="1">
      <c r="DJ616" s="369" t="s">
        <v>2200</v>
      </c>
      <c r="DK616" s="461" t="s">
        <v>2201</v>
      </c>
      <c r="DL616" s="369" t="s">
        <v>2130</v>
      </c>
      <c r="DM616" s="369" t="s">
        <v>2197</v>
      </c>
      <c r="DN616" s="369" t="s">
        <v>2198</v>
      </c>
      <c r="DO616" s="462" t="s">
        <v>2199</v>
      </c>
      <c r="DQ616" s="58" t="s">
        <v>231</v>
      </c>
    </row>
    <row r="617" spans="114:121" ht="15.75" customHeight="1">
      <c r="DJ617" s="369" t="s">
        <v>2202</v>
      </c>
      <c r="DK617" s="461" t="s">
        <v>2203</v>
      </c>
      <c r="DL617" s="369" t="s">
        <v>2130</v>
      </c>
      <c r="DM617" s="369" t="s">
        <v>2197</v>
      </c>
      <c r="DN617" s="369" t="s">
        <v>2198</v>
      </c>
      <c r="DO617" s="462" t="s">
        <v>2199</v>
      </c>
      <c r="DQ617" s="58" t="s">
        <v>231</v>
      </c>
    </row>
    <row r="618" spans="114:121" ht="15.75" customHeight="1">
      <c r="DJ618" s="369" t="s">
        <v>2204</v>
      </c>
      <c r="DK618" s="461" t="s">
        <v>2205</v>
      </c>
      <c r="DL618" s="369" t="s">
        <v>2130</v>
      </c>
      <c r="DM618" s="369" t="s">
        <v>2197</v>
      </c>
      <c r="DN618" s="369" t="s">
        <v>2198</v>
      </c>
      <c r="DO618" s="462" t="s">
        <v>2199</v>
      </c>
      <c r="DQ618" s="58" t="s">
        <v>231</v>
      </c>
    </row>
    <row r="619" spans="114:121" ht="15.75" customHeight="1">
      <c r="DJ619" s="369" t="s">
        <v>2206</v>
      </c>
      <c r="DK619" s="461" t="s">
        <v>2207</v>
      </c>
      <c r="DL619" s="369" t="s">
        <v>2130</v>
      </c>
      <c r="DM619" s="369" t="s">
        <v>2197</v>
      </c>
      <c r="DN619" s="369" t="s">
        <v>2198</v>
      </c>
      <c r="DO619" s="462" t="s">
        <v>2199</v>
      </c>
      <c r="DQ619" s="58" t="s">
        <v>231</v>
      </c>
    </row>
    <row r="620" spans="114:121" ht="15.75" customHeight="1">
      <c r="DJ620" s="369" t="s">
        <v>2208</v>
      </c>
      <c r="DK620" s="461" t="s">
        <v>2209</v>
      </c>
      <c r="DL620" s="369" t="s">
        <v>2130</v>
      </c>
      <c r="DM620" s="369" t="s">
        <v>2130</v>
      </c>
      <c r="DN620" s="369" t="s">
        <v>2183</v>
      </c>
      <c r="DO620" s="462" t="s">
        <v>2184</v>
      </c>
      <c r="DQ620" s="58" t="s">
        <v>231</v>
      </c>
    </row>
    <row r="621" spans="114:121" ht="15.75" customHeight="1">
      <c r="DJ621" s="369" t="s">
        <v>2210</v>
      </c>
      <c r="DK621" s="461" t="s">
        <v>2211</v>
      </c>
      <c r="DL621" s="369" t="s">
        <v>2056</v>
      </c>
      <c r="DM621" s="465" t="s">
        <v>2056</v>
      </c>
      <c r="DN621" s="369" t="s">
        <v>2057</v>
      </c>
      <c r="DO621" s="466" t="s">
        <v>2058</v>
      </c>
      <c r="DQ621" s="58" t="s">
        <v>231</v>
      </c>
    </row>
    <row r="622" spans="114:121" ht="15.75" customHeight="1">
      <c r="DJ622" s="369" t="s">
        <v>2212</v>
      </c>
      <c r="DK622" s="461" t="s">
        <v>2213</v>
      </c>
      <c r="DL622" s="369" t="s">
        <v>2056</v>
      </c>
      <c r="DM622" s="465" t="s">
        <v>2056</v>
      </c>
      <c r="DN622" s="369" t="s">
        <v>2057</v>
      </c>
      <c r="DO622" s="466" t="s">
        <v>2058</v>
      </c>
      <c r="DQ622" s="58" t="s">
        <v>231</v>
      </c>
    </row>
    <row r="623" spans="114:121" ht="15.75" customHeight="1">
      <c r="DJ623" s="369" t="s">
        <v>2214</v>
      </c>
      <c r="DK623" s="463" t="s">
        <v>2220</v>
      </c>
      <c r="DL623" s="369" t="s">
        <v>2056</v>
      </c>
      <c r="DM623" s="465" t="s">
        <v>2056</v>
      </c>
      <c r="DN623" s="369" t="s">
        <v>2057</v>
      </c>
      <c r="DO623" s="466" t="s">
        <v>2058</v>
      </c>
      <c r="DQ623" s="58" t="s">
        <v>231</v>
      </c>
    </row>
    <row r="624" ht="15.75" customHeight="1"/>
  </sheetData>
  <sheetProtection sheet="1"/>
  <mergeCells count="25">
    <mergeCell ref="AN46:AT46"/>
    <mergeCell ref="AD46:AM46"/>
    <mergeCell ref="AD43:AM43"/>
    <mergeCell ref="BB43:BE43"/>
    <mergeCell ref="AD45:AM45"/>
    <mergeCell ref="BB41:BE41"/>
    <mergeCell ref="AY41:BA41"/>
    <mergeCell ref="AW42:AY42"/>
    <mergeCell ref="AD44:AM44"/>
    <mergeCell ref="AY43:BA43"/>
    <mergeCell ref="AD42:AM42"/>
    <mergeCell ref="BM41:BO41"/>
    <mergeCell ref="AD41:AM41"/>
    <mergeCell ref="AN41:AT41"/>
    <mergeCell ref="BI41:BL41"/>
    <mergeCell ref="BF41:BH41"/>
    <mergeCell ref="BF43:BH43"/>
    <mergeCell ref="AN43:AT43"/>
    <mergeCell ref="AU41:AX41"/>
    <mergeCell ref="AO42:AS42"/>
    <mergeCell ref="BD42:BF42"/>
    <mergeCell ref="BM43:BO43"/>
    <mergeCell ref="BI43:BL43"/>
    <mergeCell ref="BK42:BM42"/>
    <mergeCell ref="AU43:AX43"/>
  </mergeCells>
  <printOptions horizontalCentered="1" verticalCentered="1"/>
  <pageMargins left="0.25" right="0.25" top="0.75" bottom="0.75" header="0.3" footer="0.3"/>
  <pageSetup fitToWidth="0" fitToHeight="1" horizontalDpi="600" verticalDpi="600" orientation="landscape" paperSize="9" scale="55" r:id="rId2"/>
  <headerFooter scaleWithDoc="0" alignWithMargins="0">
    <oddFooter>&amp;L&amp;10Attilio VIRGA - CSC&amp;C&amp;10Service Entreprise Provincial&amp;R&amp;10Hainaut - &amp;D</oddFooter>
  </headerFooter>
  <ignoredErrors>
    <ignoredError sqref="AB109:AV109 AW109:BO109 AV100:AV108 AV110:AV118 CQ10 CQ13 CQ16 CS10 CS13 CS16 DC10 DC13 DC16 DE10 DE13 DE16 CQ23:CU33 J80:L80" formula="1"/>
    <ignoredError sqref="BW12 BW14 BW16 BW18 BW20 BW22 BW24 BW26 BW28 BW30 BW32 BW34 BW36 BW38 BW40 BW42 BW44 AB37 AG37 AL37 AQ37 AV37 BA37 BF37 BK37 BP37 AB122:BP122 CP64:CP68 CP57 DJ9:DO623 D77:D78 D73 D51:D71 E67 D19:D29 D88 DB74" numberStoredAsText="1"/>
    <ignoredError sqref="DB61 D34" twoDigitTextYear="1"/>
    <ignoredError sqref="D36:D45" numberStoredAsText="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ACV-CSC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u69avi</dc:creator>
  <cp:keywords/>
  <dc:description/>
  <cp:lastModifiedBy>Attilio Virga</cp:lastModifiedBy>
  <cp:lastPrinted>2024-02-21T16:34:01Z</cp:lastPrinted>
  <dcterms:created xsi:type="dcterms:W3CDTF">2009-10-16T15:06:44Z</dcterms:created>
  <dcterms:modified xsi:type="dcterms:W3CDTF">2024-02-21T16:35:27Z</dcterms:modified>
  <cp:category/>
  <cp:version/>
  <cp:contentType/>
  <cp:contentStatus/>
</cp:coreProperties>
</file>